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trlProps/ctrlProp36.xml" ContentType="application/vnd.ms-excel.controlproperties+xml"/>
  <Override PartName="/xl/ctrlProps/ctrlProp37.xml" ContentType="application/vnd.ms-excel.controlproperties+xml"/>
  <Override PartName="/xl/comments2.xml" ContentType="application/vnd.openxmlformats-officedocument.spreadsheetml.comments+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3.xml" ContentType="application/vnd.openxmlformats-officedocument.spreadsheetml.comments+xml"/>
  <Override PartName="/xl/customProperty7.bin" ContentType="application/vnd.openxmlformats-officedocument.spreadsheetml.customProperty"/>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4.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ustomProperty13.bin" ContentType="application/vnd.openxmlformats-officedocument.spreadsheetml.customProperty"/>
  <Override PartName="/xl/drawings/drawing1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comments5.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ustomProperty14.bin" ContentType="application/vnd.openxmlformats-officedocument.spreadsheetml.customProperty"/>
  <Override PartName="/xl/drawings/drawing13.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14.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15.xml" ContentType="application/vnd.openxmlformats-officedocument.drawing+xml"/>
  <Override PartName="/xl/comments6.xml" ContentType="application/vnd.openxmlformats-officedocument.spreadsheetml.comments+xml"/>
  <Override PartName="/xl/customProperty20.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aveExternalLinkValues="0" codeName="ThisWorkbook"/>
  <mc:AlternateContent xmlns:mc="http://schemas.openxmlformats.org/markup-compatibility/2006">
    <mc:Choice Requires="x15">
      <x15ac:absPath xmlns:x15ac="http://schemas.microsoft.com/office/spreadsheetml/2010/11/ac" url="\\eka\files\Profiles-no-STMS\UserFolders\PavlovAV\Мои документы\Работа\Стандарты\НД СТМ\2020\"/>
    </mc:Choice>
  </mc:AlternateContent>
  <bookViews>
    <workbookView xWindow="3915" yWindow="-75" windowWidth="10575" windowHeight="8685" tabRatio="844"/>
  </bookViews>
  <sheets>
    <sheet name="01PSW" sheetId="26" r:id="rId1"/>
    <sheet name="02ПД" sheetId="38" r:id="rId2"/>
    <sheet name="03ЛКП" sheetId="40" r:id="rId3"/>
    <sheet name="04,09FMEA" sheetId="30" r:id="rId4"/>
    <sheet name="08ПСк" sheetId="39" r:id="rId5"/>
    <sheet name="10ПУ" sheetId="35" r:id="rId6"/>
    <sheet name="11SPC" sheetId="41" r:id="rId7"/>
    <sheet name="12РПГП" sheetId="33" r:id="rId8"/>
    <sheet name="12РИЭХ" sheetId="34" r:id="rId9"/>
    <sheet name="13РИМ" sheetId="28" r:id="rId10"/>
    <sheet name="15SampleIT" sheetId="37" r:id="rId11"/>
    <sheet name="16ООВВ" sheetId="27" r:id="rId12"/>
    <sheet name="19MSA" sheetId="42" r:id="rId13"/>
    <sheet name="21СОП" sheetId="47" r:id="rId14"/>
    <sheet name="22ТУЛ" sheetId="45" r:id="rId15"/>
    <sheet name="23АПП" sheetId="43" r:id="rId16"/>
    <sheet name="25PSW 2" sheetId="36" r:id="rId17"/>
    <sheet name="Лист1" sheetId="46" r:id="rId18"/>
    <sheet name="02 КПП " sheetId="31" state="hidden" r:id="rId19"/>
    <sheet name="Capt" sheetId="17" state="veryHidden" r:id="rId20"/>
  </sheets>
  <definedNames>
    <definedName name="___GoA1">[0]!___GoA1</definedName>
    <definedName name="__GoA1" localSheetId="6">'11SPC'!__GoA1</definedName>
    <definedName name="_GoA1" localSheetId="0">'01PSW'!_GoA1</definedName>
    <definedName name="_GoA1" localSheetId="18">'02 КПП '!_GoA1</definedName>
    <definedName name="_GoA1" localSheetId="2">'03ЛКП'!_GoA1</definedName>
    <definedName name="_GoA1" localSheetId="3">'04,09FMEA'!_GoA1</definedName>
    <definedName name="_GoA1" localSheetId="4">'08ПСк'!_GoA1</definedName>
    <definedName name="_GoA1" localSheetId="5">'10ПУ'!_GoA1</definedName>
    <definedName name="_GoA1" localSheetId="8">'12РИЭХ'!_GoA1</definedName>
    <definedName name="_GoA1" localSheetId="7">'12РПГП'!_GoA1</definedName>
    <definedName name="_GoA1" localSheetId="9">'13РИМ'!_GoA1</definedName>
    <definedName name="_GoA1" localSheetId="11">'16ООВВ'!_GoA1</definedName>
    <definedName name="_GoA1" localSheetId="15">'23АПП'!_GoA1</definedName>
    <definedName name="_GoA1" localSheetId="16">'25PSW 2'!_GoA1</definedName>
    <definedName name="_GoA1">[0]!_GoA1</definedName>
    <definedName name="Capt.GoA1" localSheetId="6">[0]!Capt.GoA1</definedName>
    <definedName name="Capture" localSheetId="6">[0]!Capture</definedName>
    <definedName name="Capture.Capture" localSheetId="0">'01PSW'!Capture.Capture</definedName>
    <definedName name="Capture.Capture" localSheetId="18">'02 КПП '!Capture.Capture</definedName>
    <definedName name="Capture.Capture" localSheetId="2">'03ЛКП'!Capture.Capture</definedName>
    <definedName name="Capture.Capture" localSheetId="3">'04,09FMEA'!Capture.Capture</definedName>
    <definedName name="Capture.Capture" localSheetId="4">'08ПСк'!Capture.Capture</definedName>
    <definedName name="Capture.Capture" localSheetId="5">'10ПУ'!Capture.Capture</definedName>
    <definedName name="Capture.Capture" localSheetId="6">'11SPC'!Capture.Capture</definedName>
    <definedName name="Capture.Capture" localSheetId="8">'12РИЭХ'!Capture.Capture</definedName>
    <definedName name="Capture.Capture" localSheetId="7">'12РПГП'!Capture.Capture</definedName>
    <definedName name="Capture.Capture" localSheetId="9">'13РИМ'!Capture.Capture</definedName>
    <definedName name="Capture.Capture" localSheetId="11">'16ООВВ'!Capture.Capture</definedName>
    <definedName name="Capture.Capture" localSheetId="15">'23АПП'!Capture.Capture</definedName>
    <definedName name="Capture.Capture" localSheetId="16">'25PSW 2'!Capture.Capture</definedName>
    <definedName name="Capture.Capture">[0]!Capture.Capture</definedName>
    <definedName name="Count">COUNT(#REF!)</definedName>
    <definedName name="Data" localSheetId="6">OFFSET(#REF!,0,0,[0]!Count,1)</definedName>
    <definedName name="Data">OFFSET(#REF!,0,0,[0]!Count,1)</definedName>
    <definedName name="Data1" localSheetId="6">OFFSET(#REF!,0,0,[0]!Count,1)</definedName>
    <definedName name="Data1">OFFSET(#REF!,0,0,[0]!Count,1)</definedName>
    <definedName name="Data2" localSheetId="6">OFFSET(#REF!,0,0,[0]!Count,1)</definedName>
    <definedName name="Data2">OFFSET(#REF!,0,0,[0]!Count,1)</definedName>
    <definedName name="ResetValues" localSheetId="6">[0]!ResetValues</definedName>
    <definedName name="Table">#REF!</definedName>
    <definedName name="вверх">OFFSET(#REF!,0,0,[0]!Count,1)</definedName>
    <definedName name="_xlnm.Print_Titles" localSheetId="18">'02 КПП '!$1:$15</definedName>
    <definedName name="_xlnm.Print_Titles" localSheetId="2">'03ЛКП'!$1:$8</definedName>
    <definedName name="_xlnm.Print_Titles" localSheetId="3">'04,09FMEA'!$1:$14</definedName>
    <definedName name="_xlnm.Print_Titles" localSheetId="4">'08ПСк'!$1:$8</definedName>
    <definedName name="_xlnm.Print_Titles" localSheetId="5">'10ПУ'!$1:$16</definedName>
    <definedName name="_xlnm.Print_Titles" localSheetId="6">'11SPC'!$1:$1</definedName>
    <definedName name="_xlnm.Print_Titles" localSheetId="8">'12РИЭХ'!$1:$9</definedName>
    <definedName name="_xlnm.Print_Titles" localSheetId="7">'12РПГП'!$1:$10</definedName>
    <definedName name="_xlnm.Print_Titles" localSheetId="9">'13РИМ'!$1:$9</definedName>
    <definedName name="_xlnm.Print_Titles" localSheetId="12">'19MSA'!$1:$5</definedName>
    <definedName name="_xlnm.Print_Titles" localSheetId="15">'23АПП'!$1:$9</definedName>
    <definedName name="_xlnm.Print_Area" localSheetId="0">'01PSW'!$A$1:$J$68</definedName>
    <definedName name="_xlnm.Print_Area" localSheetId="2">'03ЛКП'!$A$1:$F$39</definedName>
    <definedName name="_xlnm.Print_Area" localSheetId="3">'04,09FMEA'!$A$1:$Q$35</definedName>
    <definedName name="_xlnm.Print_Area" localSheetId="4">'08ПСк'!$A$1:$E$50</definedName>
    <definedName name="_xlnm.Print_Area" localSheetId="5">'10ПУ'!$A$1:$O$40</definedName>
    <definedName name="_xlnm.Print_Area" localSheetId="6">'11SPC'!$A$1:$U$108</definedName>
    <definedName name="_xlnm.Print_Area" localSheetId="8">'12РИЭХ'!$A$1:$G$57</definedName>
    <definedName name="_xlnm.Print_Area" localSheetId="7">'12РПГП'!$A$1:$E$52</definedName>
    <definedName name="_xlnm.Print_Area" localSheetId="9">'13РИМ'!$A$1:$F$51</definedName>
    <definedName name="_xlnm.Print_Area" localSheetId="10">'15SampleIT'!$A$1:$I$21</definedName>
    <definedName name="_xlnm.Print_Area" localSheetId="11">'16ООВВ'!$A$1:$AE$51</definedName>
    <definedName name="_xlnm.Print_Area" localSheetId="12">'19MSA'!$A$1:$Q$154</definedName>
    <definedName name="_xlnm.Print_Area" localSheetId="15">'23АПП'!$A$1:$E$53</definedName>
    <definedName name="_xlnm.Print_Area" localSheetId="16">'25PSW 2'!$A$1:$M$86</definedName>
  </definedNames>
  <calcPr calcId="162913"/>
</workbook>
</file>

<file path=xl/calcChain.xml><?xml version="1.0" encoding="utf-8"?>
<calcChain xmlns="http://schemas.openxmlformats.org/spreadsheetml/2006/main">
  <c r="E10" i="42" l="1"/>
  <c r="V125" i="42" s="1"/>
  <c r="F10" i="42"/>
  <c r="B60" i="42" s="1"/>
  <c r="J10" i="42"/>
  <c r="K10" i="42"/>
  <c r="K20" i="42" s="1"/>
  <c r="O10" i="42"/>
  <c r="P10" i="42"/>
  <c r="P21" i="42" s="1"/>
  <c r="E11" i="42"/>
  <c r="H61" i="42" s="1"/>
  <c r="F11" i="42"/>
  <c r="J11" i="42"/>
  <c r="K11" i="42"/>
  <c r="C61" i="42" s="1"/>
  <c r="O11" i="42"/>
  <c r="V146" i="42" s="1"/>
  <c r="P11" i="42"/>
  <c r="D61" i="42" s="1"/>
  <c r="E12" i="42"/>
  <c r="F12" i="42"/>
  <c r="B62" i="42" s="1"/>
  <c r="J12" i="42"/>
  <c r="K12" i="42"/>
  <c r="C62" i="42" s="1"/>
  <c r="O12" i="42"/>
  <c r="P12" i="42"/>
  <c r="E13" i="42"/>
  <c r="F13" i="42"/>
  <c r="J13" i="42"/>
  <c r="V138" i="42" s="1"/>
  <c r="K13" i="42"/>
  <c r="O13" i="42"/>
  <c r="O20" i="42" s="1"/>
  <c r="P13" i="42"/>
  <c r="E14" i="42"/>
  <c r="H64" i="42" s="1"/>
  <c r="F14" i="42"/>
  <c r="J14" i="42"/>
  <c r="V139" i="42" s="1"/>
  <c r="K14" i="42"/>
  <c r="C64" i="42" s="1"/>
  <c r="O14" i="42"/>
  <c r="J64" i="42" s="1"/>
  <c r="P14" i="42"/>
  <c r="E15" i="42"/>
  <c r="V130" i="42" s="1"/>
  <c r="F15" i="42"/>
  <c r="B65" i="42" s="1"/>
  <c r="J15" i="42"/>
  <c r="I65" i="42" s="1"/>
  <c r="K15" i="42"/>
  <c r="O15" i="42"/>
  <c r="V150" i="42" s="1"/>
  <c r="P15" i="42"/>
  <c r="D65" i="42" s="1"/>
  <c r="E16" i="42"/>
  <c r="H66" i="42" s="1"/>
  <c r="F16" i="42"/>
  <c r="J16" i="42"/>
  <c r="I66" i="42" s="1"/>
  <c r="K16" i="42"/>
  <c r="O16" i="42"/>
  <c r="P16" i="42"/>
  <c r="D66" i="42" s="1"/>
  <c r="Q16" i="42"/>
  <c r="E17" i="42"/>
  <c r="F17" i="42"/>
  <c r="J17" i="42"/>
  <c r="V142" i="42" s="1"/>
  <c r="K17" i="42"/>
  <c r="O17" i="42"/>
  <c r="P17" i="42"/>
  <c r="D67" i="42" s="1"/>
  <c r="E18" i="42"/>
  <c r="H68" i="42" s="1"/>
  <c r="F18" i="42"/>
  <c r="B68" i="42" s="1"/>
  <c r="J18" i="42"/>
  <c r="K18" i="42"/>
  <c r="O18" i="42"/>
  <c r="P18" i="42"/>
  <c r="D68" i="42" s="1"/>
  <c r="E19" i="42"/>
  <c r="V134" i="42" s="1"/>
  <c r="F19" i="42"/>
  <c r="B69" i="42" s="1"/>
  <c r="J19" i="42"/>
  <c r="K19" i="42"/>
  <c r="C69" i="42" s="1"/>
  <c r="O19" i="42"/>
  <c r="P19" i="42"/>
  <c r="B20" i="42"/>
  <c r="C20" i="42"/>
  <c r="D20" i="42"/>
  <c r="G20" i="42"/>
  <c r="H20" i="42"/>
  <c r="I20" i="42"/>
  <c r="L20" i="42"/>
  <c r="M20" i="42"/>
  <c r="N20" i="42"/>
  <c r="J21" i="42"/>
  <c r="C33" i="42"/>
  <c r="I33" i="42"/>
  <c r="O33" i="42"/>
  <c r="N38" i="42"/>
  <c r="N40" i="42"/>
  <c r="N42" i="42"/>
  <c r="N44" i="42"/>
  <c r="A48" i="42"/>
  <c r="I60" i="42"/>
  <c r="I61" i="42"/>
  <c r="J61" i="42"/>
  <c r="M61" i="42"/>
  <c r="D62" i="42"/>
  <c r="H62" i="42"/>
  <c r="J62" i="42"/>
  <c r="M62" i="42"/>
  <c r="B63" i="42"/>
  <c r="D63" i="42"/>
  <c r="H63" i="42"/>
  <c r="J63" i="42"/>
  <c r="M63" i="42"/>
  <c r="B64" i="42"/>
  <c r="D64" i="42"/>
  <c r="I64" i="42"/>
  <c r="M64" i="42"/>
  <c r="P64" i="42"/>
  <c r="C65" i="42"/>
  <c r="J65" i="42"/>
  <c r="M65" i="42"/>
  <c r="P65" i="42"/>
  <c r="B66" i="42"/>
  <c r="C66" i="42"/>
  <c r="J66" i="42"/>
  <c r="M66" i="42"/>
  <c r="B67" i="42"/>
  <c r="H67" i="42"/>
  <c r="J67" i="42"/>
  <c r="M67" i="42"/>
  <c r="C68" i="42"/>
  <c r="I68" i="42"/>
  <c r="J68" i="42"/>
  <c r="M68" i="42"/>
  <c r="D69" i="42"/>
  <c r="I69" i="42"/>
  <c r="M69" i="42"/>
  <c r="U125" i="42"/>
  <c r="U126" i="42"/>
  <c r="U127" i="42"/>
  <c r="V127" i="42"/>
  <c r="U128" i="42"/>
  <c r="V128" i="42"/>
  <c r="U129" i="42"/>
  <c r="V129" i="42"/>
  <c r="U130" i="42"/>
  <c r="U131" i="42"/>
  <c r="U132" i="42"/>
  <c r="V132" i="42"/>
  <c r="U133" i="42"/>
  <c r="V133" i="42"/>
  <c r="U134" i="42"/>
  <c r="U135" i="42"/>
  <c r="V135" i="42"/>
  <c r="U136" i="42"/>
  <c r="V136" i="42"/>
  <c r="U137" i="42"/>
  <c r="V137" i="42"/>
  <c r="U138" i="42"/>
  <c r="U139" i="42"/>
  <c r="U140" i="42"/>
  <c r="U141" i="42"/>
  <c r="U142" i="42"/>
  <c r="U143" i="42"/>
  <c r="V143" i="42"/>
  <c r="U144" i="42"/>
  <c r="V144" i="42"/>
  <c r="U145" i="42"/>
  <c r="U146" i="42"/>
  <c r="U147" i="42"/>
  <c r="V147" i="42"/>
  <c r="U148" i="42"/>
  <c r="U149" i="42"/>
  <c r="U150" i="42"/>
  <c r="U151" i="42"/>
  <c r="V151" i="42"/>
  <c r="U152" i="42"/>
  <c r="V152" i="42"/>
  <c r="U153" i="42"/>
  <c r="V153" i="42"/>
  <c r="U154" i="42"/>
  <c r="AW3" i="41"/>
  <c r="C11" i="41"/>
  <c r="D11" i="41"/>
  <c r="D62" i="41" s="1"/>
  <c r="G11" i="41"/>
  <c r="I11" i="41"/>
  <c r="T59" i="41" s="1"/>
  <c r="L11" i="41"/>
  <c r="M11" i="41"/>
  <c r="T60" i="41" s="1"/>
  <c r="W16" i="41"/>
  <c r="W18" i="41" s="1"/>
  <c r="X16" i="41"/>
  <c r="X18" i="41" s="1"/>
  <c r="Y16" i="41"/>
  <c r="W17" i="41"/>
  <c r="X17" i="41"/>
  <c r="Y17" i="41"/>
  <c r="Y18" i="41"/>
  <c r="AG40" i="41"/>
  <c r="AH40" i="41" s="1"/>
  <c r="AI40" i="41" s="1"/>
  <c r="AJ40" i="41" s="1"/>
  <c r="AK40" i="41" s="1"/>
  <c r="AL40" i="41" s="1"/>
  <c r="AM40" i="41" s="1"/>
  <c r="AN40" i="41" s="1"/>
  <c r="AO40" i="41" s="1"/>
  <c r="AP40" i="41" s="1"/>
  <c r="AQ40" i="41" s="1"/>
  <c r="AR40" i="41" s="1"/>
  <c r="AS40" i="41" s="1"/>
  <c r="AT40" i="41" s="1"/>
  <c r="AU40" i="41" s="1"/>
  <c r="AV40" i="41" s="1"/>
  <c r="AW40" i="41" s="1"/>
  <c r="AX40" i="41" s="1"/>
  <c r="AY40" i="41" s="1"/>
  <c r="AZ40" i="41" s="1"/>
  <c r="BA40" i="41" s="1"/>
  <c r="BB40" i="41" s="1"/>
  <c r="BC40" i="41" s="1"/>
  <c r="BD40" i="41" s="1"/>
  <c r="AP49" i="41"/>
  <c r="AQ49" i="41"/>
  <c r="AR49" i="41"/>
  <c r="AS49" i="41"/>
  <c r="AT49" i="41"/>
  <c r="AU54" i="41" s="1"/>
  <c r="AU49" i="41"/>
  <c r="AV49" i="41"/>
  <c r="AW49" i="41"/>
  <c r="AX49" i="41"/>
  <c r="AY54" i="41" s="1"/>
  <c r="AY49" i="41"/>
  <c r="AZ49" i="41"/>
  <c r="BA49" i="41"/>
  <c r="BB49" i="41"/>
  <c r="BC49" i="41"/>
  <c r="BD49" i="41"/>
  <c r="AP50" i="41"/>
  <c r="AQ50" i="41"/>
  <c r="AR50" i="41"/>
  <c r="AS50" i="41"/>
  <c r="AS55" i="41" s="1"/>
  <c r="AT50" i="41"/>
  <c r="AU50" i="41"/>
  <c r="AV50" i="41"/>
  <c r="AW50" i="41"/>
  <c r="AW55" i="41" s="1"/>
  <c r="AX50" i="41"/>
  <c r="AY50" i="41"/>
  <c r="AZ50" i="41"/>
  <c r="BA50" i="41"/>
  <c r="BB50" i="41"/>
  <c r="BC50" i="41"/>
  <c r="BD55" i="41" s="1"/>
  <c r="BD50" i="41"/>
  <c r="AP51" i="41"/>
  <c r="AQ51" i="41"/>
  <c r="AR51" i="41"/>
  <c r="AS51" i="41"/>
  <c r="AT51" i="41"/>
  <c r="AT56" i="41" s="1"/>
  <c r="AU51" i="41"/>
  <c r="AV51" i="41"/>
  <c r="AW51" i="41"/>
  <c r="AX51" i="41"/>
  <c r="AY51" i="41"/>
  <c r="AZ51" i="41"/>
  <c r="BA51" i="41"/>
  <c r="BB51" i="41"/>
  <c r="BB56" i="41" s="1"/>
  <c r="BC51" i="41"/>
  <c r="BD51" i="41"/>
  <c r="AP52" i="41"/>
  <c r="AQ52" i="41"/>
  <c r="AQ57" i="41" s="1"/>
  <c r="AR52" i="41"/>
  <c r="AS52" i="41"/>
  <c r="AT57" i="41" s="1"/>
  <c r="AT52" i="41"/>
  <c r="AU52" i="41"/>
  <c r="AV52" i="41"/>
  <c r="AW52" i="41"/>
  <c r="AX57" i="41" s="1"/>
  <c r="AX52" i="41"/>
  <c r="AY52" i="41"/>
  <c r="AY57" i="41" s="1"/>
  <c r="AZ52" i="41"/>
  <c r="BA52" i="41"/>
  <c r="BB52" i="41"/>
  <c r="BC52" i="41"/>
  <c r="BC57" i="41" s="1"/>
  <c r="BD52" i="41"/>
  <c r="AQ54" i="41"/>
  <c r="AX54" i="41"/>
  <c r="BC54" i="41"/>
  <c r="BA55" i="41"/>
  <c r="D56" i="41"/>
  <c r="K56" i="41"/>
  <c r="N56" i="41"/>
  <c r="AX56" i="41"/>
  <c r="E57" i="41"/>
  <c r="K57" i="41"/>
  <c r="AU57" i="41"/>
  <c r="BB57" i="41"/>
  <c r="E58" i="41"/>
  <c r="K58" i="41"/>
  <c r="T58" i="41"/>
  <c r="AQ17" i="41" s="1"/>
  <c r="E59" i="41"/>
  <c r="K59" i="41"/>
  <c r="E60" i="41"/>
  <c r="L60" i="41"/>
  <c r="D61" i="41"/>
  <c r="I61" i="41"/>
  <c r="M61" i="41"/>
  <c r="C62" i="41"/>
  <c r="G62" i="41"/>
  <c r="L62" i="41"/>
  <c r="J64" i="41"/>
  <c r="N64" i="41"/>
  <c r="Q17" i="42" l="1"/>
  <c r="F21" i="42"/>
  <c r="C24" i="42" s="1"/>
  <c r="B40" i="42" s="1"/>
  <c r="I62" i="41"/>
  <c r="BD57" i="41"/>
  <c r="AZ57" i="41"/>
  <c r="AV57" i="41"/>
  <c r="AR57" i="41"/>
  <c r="BC56" i="41"/>
  <c r="AY56" i="41"/>
  <c r="AU56" i="41"/>
  <c r="AQ56" i="41"/>
  <c r="BC55" i="41"/>
  <c r="AY55" i="41"/>
  <c r="AU55" i="41"/>
  <c r="AQ55" i="41"/>
  <c r="BB54" i="41"/>
  <c r="AT54" i="41"/>
  <c r="V149" i="42"/>
  <c r="V148" i="42"/>
  <c r="V140" i="42"/>
  <c r="V131" i="42"/>
  <c r="I63" i="42"/>
  <c r="D60" i="42"/>
  <c r="Q11" i="42"/>
  <c r="Q12" i="42"/>
  <c r="V154" i="42"/>
  <c r="J69" i="42"/>
  <c r="J60" i="42"/>
  <c r="O21" i="42"/>
  <c r="K21" i="42"/>
  <c r="V141" i="42"/>
  <c r="H69" i="42"/>
  <c r="C67" i="42"/>
  <c r="C63" i="42"/>
  <c r="Q13" i="42"/>
  <c r="I62" i="42"/>
  <c r="J20" i="42"/>
  <c r="E20" i="42"/>
  <c r="E21" i="42"/>
  <c r="F20" i="42"/>
  <c r="V145" i="42"/>
  <c r="B61" i="42"/>
  <c r="H60" i="42"/>
  <c r="P20" i="42"/>
  <c r="Q18" i="42"/>
  <c r="Q14" i="42"/>
  <c r="Q10" i="42"/>
  <c r="I67" i="42"/>
  <c r="H65" i="42"/>
  <c r="C60" i="42"/>
  <c r="V126" i="42"/>
  <c r="Q19" i="42"/>
  <c r="Q15" i="42"/>
  <c r="BA54" i="41"/>
  <c r="AW54" i="41"/>
  <c r="M62" i="41"/>
  <c r="BA56" i="41"/>
  <c r="AW56" i="41"/>
  <c r="AS56" i="41"/>
  <c r="BD54" i="41"/>
  <c r="AZ54" i="41"/>
  <c r="AV54" i="41"/>
  <c r="AR54" i="41"/>
  <c r="AX55" i="41"/>
  <c r="AS54" i="41"/>
  <c r="BB55" i="41"/>
  <c r="AT55" i="41"/>
  <c r="BD56" i="41"/>
  <c r="AZ56" i="41"/>
  <c r="AV56" i="41"/>
  <c r="AR56" i="41"/>
  <c r="AZ55" i="41"/>
  <c r="AV55" i="41"/>
  <c r="AR55" i="41"/>
  <c r="BA57" i="41"/>
  <c r="AW57" i="41"/>
  <c r="AS57" i="41"/>
  <c r="AR17" i="41"/>
  <c r="AT17" i="41" s="1"/>
  <c r="AV17" i="41" s="1"/>
  <c r="AS17" i="41"/>
  <c r="AV16" i="41" s="1"/>
  <c r="AS4" i="41" s="1"/>
  <c r="J67" i="41"/>
  <c r="R68" i="41"/>
  <c r="Y68" i="41"/>
  <c r="Y69" i="41"/>
  <c r="AC71" i="41"/>
  <c r="AC72" i="41"/>
  <c r="AC73" i="41"/>
  <c r="AC74" i="41"/>
  <c r="AC75" i="41"/>
  <c r="AC76" i="41"/>
  <c r="AD77" i="41"/>
  <c r="AD78" i="41"/>
  <c r="AD84" i="41" s="1"/>
  <c r="AD79" i="41"/>
  <c r="C82" i="41"/>
  <c r="D82" i="41" s="1"/>
  <c r="E82" i="41" s="1"/>
  <c r="F82" i="41" s="1"/>
  <c r="G82" i="41" s="1"/>
  <c r="H82" i="41" s="1"/>
  <c r="I82" i="41" s="1"/>
  <c r="J82" i="41" s="1"/>
  <c r="K82" i="41" s="1"/>
  <c r="L82" i="41" s="1"/>
  <c r="M82" i="41" s="1"/>
  <c r="N82" i="41" s="1"/>
  <c r="O82" i="41" s="1"/>
  <c r="P82" i="41" s="1"/>
  <c r="Q82" i="41" s="1"/>
  <c r="R82" i="41" s="1"/>
  <c r="S82" i="41" s="1"/>
  <c r="T82" i="41" s="1"/>
  <c r="U82" i="41" s="1"/>
  <c r="B95" i="41" s="1"/>
  <c r="C95" i="41" s="1"/>
  <c r="D95" i="41" s="1"/>
  <c r="E95" i="41" s="1"/>
  <c r="F95" i="41" s="1"/>
  <c r="V83" i="41"/>
  <c r="W83" i="41"/>
  <c r="X83" i="41"/>
  <c r="Y83" i="41"/>
  <c r="Z83" i="41"/>
  <c r="V84" i="41"/>
  <c r="W84" i="41"/>
  <c r="X84" i="41"/>
  <c r="X94" i="41" s="1"/>
  <c r="Y84" i="41"/>
  <c r="Z84" i="41"/>
  <c r="A85" i="41"/>
  <c r="V85" i="41"/>
  <c r="W85" i="41"/>
  <c r="X85" i="41"/>
  <c r="Y85" i="41"/>
  <c r="Z85" i="41"/>
  <c r="A86" i="41"/>
  <c r="V86" i="41"/>
  <c r="W86" i="41"/>
  <c r="X86" i="41"/>
  <c r="Y86" i="41"/>
  <c r="Z86" i="41"/>
  <c r="A87" i="41"/>
  <c r="V87" i="41"/>
  <c r="W87" i="41"/>
  <c r="X87" i="41"/>
  <c r="Y87" i="41"/>
  <c r="Z87" i="41"/>
  <c r="A88" i="41"/>
  <c r="V88" i="41"/>
  <c r="W88" i="41"/>
  <c r="X88" i="41"/>
  <c r="Y88" i="41"/>
  <c r="Z88" i="41"/>
  <c r="A89" i="41"/>
  <c r="V89" i="41"/>
  <c r="W89" i="41"/>
  <c r="X89" i="41"/>
  <c r="Y89" i="41"/>
  <c r="Z89" i="41"/>
  <c r="A90" i="41"/>
  <c r="V90" i="41"/>
  <c r="W90" i="41"/>
  <c r="X90" i="41"/>
  <c r="Y90" i="41"/>
  <c r="Z90" i="41"/>
  <c r="A91" i="41"/>
  <c r="V91" i="41"/>
  <c r="W91" i="41"/>
  <c r="X91" i="41"/>
  <c r="Y91" i="41"/>
  <c r="Z91" i="41"/>
  <c r="A92" i="41"/>
  <c r="V92" i="41"/>
  <c r="W92" i="41"/>
  <c r="X92" i="41"/>
  <c r="Y92" i="41"/>
  <c r="Z92" i="41"/>
  <c r="B93" i="41"/>
  <c r="C93" i="41"/>
  <c r="D93" i="41"/>
  <c r="E93" i="41"/>
  <c r="F93" i="41"/>
  <c r="G93" i="41"/>
  <c r="H93" i="41"/>
  <c r="I93" i="41"/>
  <c r="J93" i="41"/>
  <c r="K93" i="41"/>
  <c r="L93" i="41"/>
  <c r="AP26" i="41" s="1"/>
  <c r="M93" i="41"/>
  <c r="N93" i="41"/>
  <c r="O93" i="41"/>
  <c r="P93" i="41"/>
  <c r="AT26" i="41" s="1"/>
  <c r="Q93" i="41"/>
  <c r="R93" i="41"/>
  <c r="S93" i="41"/>
  <c r="T93" i="41"/>
  <c r="AX26" i="41" s="1"/>
  <c r="U93" i="41"/>
  <c r="Y93" i="41"/>
  <c r="B94" i="41"/>
  <c r="C94" i="41"/>
  <c r="D94" i="41"/>
  <c r="E94" i="41"/>
  <c r="F94" i="41"/>
  <c r="G94" i="41"/>
  <c r="H94" i="41"/>
  <c r="I94" i="41"/>
  <c r="J94" i="41"/>
  <c r="K94" i="41"/>
  <c r="L94" i="41"/>
  <c r="M94" i="41"/>
  <c r="N94" i="41"/>
  <c r="O94" i="41"/>
  <c r="AS33" i="41" s="1"/>
  <c r="P94" i="41"/>
  <c r="Q94" i="41"/>
  <c r="R94" i="41"/>
  <c r="S94" i="41"/>
  <c r="AW33" i="41" s="1"/>
  <c r="T94" i="41"/>
  <c r="U94" i="41"/>
  <c r="A98" i="41"/>
  <c r="A99" i="41"/>
  <c r="A100" i="41"/>
  <c r="A101" i="41"/>
  <c r="A102" i="41"/>
  <c r="A103" i="41"/>
  <c r="A104" i="41"/>
  <c r="A105" i="41"/>
  <c r="B106" i="41"/>
  <c r="C106" i="41"/>
  <c r="D106" i="41"/>
  <c r="E106" i="41"/>
  <c r="F106" i="41"/>
  <c r="B107" i="41"/>
  <c r="C107" i="41"/>
  <c r="D107" i="41"/>
  <c r="E107" i="41"/>
  <c r="F107" i="41"/>
  <c r="AT4" i="41"/>
  <c r="BA33" i="41" l="1"/>
  <c r="BB26" i="41"/>
  <c r="BB28" i="41" s="1"/>
  <c r="AY26" i="41"/>
  <c r="AU26" i="41"/>
  <c r="AU27" i="41" s="1"/>
  <c r="AQ26" i="41"/>
  <c r="W94" i="41"/>
  <c r="C23" i="42"/>
  <c r="P59" i="42"/>
  <c r="B38" i="42"/>
  <c r="D38" i="42" s="1"/>
  <c r="C25" i="42"/>
  <c r="Q20" i="42"/>
  <c r="Q21" i="42"/>
  <c r="B44" i="42" s="1"/>
  <c r="D44" i="42" s="1"/>
  <c r="P58" i="42"/>
  <c r="Y94" i="41"/>
  <c r="W93" i="41"/>
  <c r="AC84" i="41"/>
  <c r="AZ33" i="41"/>
  <c r="AZ34" i="41" s="1"/>
  <c r="BB33" i="41"/>
  <c r="BB34" i="41" s="1"/>
  <c r="BC26" i="41"/>
  <c r="AV33" i="41"/>
  <c r="AV35" i="41" s="1"/>
  <c r="AR33" i="41"/>
  <c r="Z93" i="41"/>
  <c r="AW34" i="41"/>
  <c r="AW35" i="41"/>
  <c r="AO33" i="41"/>
  <c r="AG33" i="41"/>
  <c r="AU28" i="41"/>
  <c r="AM26" i="41"/>
  <c r="AM64" i="41"/>
  <c r="AM16" i="41"/>
  <c r="AJ4" i="41" s="1"/>
  <c r="AM17" i="41"/>
  <c r="AM18" i="41" s="1"/>
  <c r="AM19" i="41" s="1"/>
  <c r="T57" i="41"/>
  <c r="AR5" i="41"/>
  <c r="BA34" i="41"/>
  <c r="BA35" i="41"/>
  <c r="Z94" i="41"/>
  <c r="V94" i="41"/>
  <c r="AR34" i="41"/>
  <c r="AR35" i="41"/>
  <c r="AJ33" i="41"/>
  <c r="X93" i="41"/>
  <c r="AX28" i="41"/>
  <c r="AX27" i="41"/>
  <c r="AT28" i="41"/>
  <c r="AT27" i="41"/>
  <c r="AP28" i="41"/>
  <c r="AL26" i="41"/>
  <c r="AL64" i="41"/>
  <c r="AH26" i="41"/>
  <c r="AH64" i="41"/>
  <c r="AV18" i="41"/>
  <c r="AV19" i="41" s="1"/>
  <c r="AR4" i="41" s="1"/>
  <c r="AQ4" i="41" s="1"/>
  <c r="BD33" i="41"/>
  <c r="AZ35" i="41"/>
  <c r="BA26" i="41"/>
  <c r="AY33" i="41"/>
  <c r="AU33" i="41"/>
  <c r="AQ33" i="41"/>
  <c r="AM33" i="41"/>
  <c r="AI33" i="41"/>
  <c r="AW26" i="41"/>
  <c r="AS26" i="41"/>
  <c r="AO26" i="41"/>
  <c r="AO64" i="41"/>
  <c r="AK26" i="41"/>
  <c r="AK64" i="41"/>
  <c r="AG26" i="41"/>
  <c r="AG64" i="41"/>
  <c r="N67" i="41"/>
  <c r="BC27" i="41"/>
  <c r="BC28" i="41"/>
  <c r="AS34" i="41"/>
  <c r="AS35" i="41"/>
  <c r="AK33" i="41"/>
  <c r="AY28" i="41"/>
  <c r="AY27" i="41"/>
  <c r="AQ27" i="41"/>
  <c r="AQ28" i="41"/>
  <c r="AI26" i="41"/>
  <c r="AI64" i="41"/>
  <c r="BB27" i="41"/>
  <c r="AN33" i="41"/>
  <c r="BC33" i="41"/>
  <c r="BD26" i="41"/>
  <c r="AZ26" i="41"/>
  <c r="AX33" i="41"/>
  <c r="AT33" i="41"/>
  <c r="AP33" i="41"/>
  <c r="AL33" i="41"/>
  <c r="AH33" i="41"/>
  <c r="V93" i="41"/>
  <c r="AV26" i="41"/>
  <c r="AR26" i="41"/>
  <c r="AN26" i="41"/>
  <c r="AN64" i="41"/>
  <c r="AJ26" i="41"/>
  <c r="AJ64" i="41"/>
  <c r="AF64" i="41"/>
  <c r="J15" i="30"/>
  <c r="Q15" i="30"/>
  <c r="J16" i="30"/>
  <c r="Q16" i="30"/>
  <c r="J17" i="30"/>
  <c r="Q17" i="30"/>
  <c r="J18" i="30"/>
  <c r="Q18" i="30"/>
  <c r="J19" i="30"/>
  <c r="Q19" i="30"/>
  <c r="J20" i="30"/>
  <c r="Q20" i="30"/>
  <c r="J21" i="30"/>
  <c r="Q21" i="30"/>
  <c r="J22" i="30"/>
  <c r="Q22" i="30"/>
  <c r="J23" i="30"/>
  <c r="Q23" i="30"/>
  <c r="J24" i="30"/>
  <c r="Q24" i="30"/>
  <c r="J25" i="30"/>
  <c r="Q25" i="30"/>
  <c r="J26" i="30"/>
  <c r="Q26" i="30"/>
  <c r="J27" i="30"/>
  <c r="Q27" i="30"/>
  <c r="J28" i="30"/>
  <c r="Q28" i="30"/>
  <c r="J29" i="30"/>
  <c r="Q29" i="30"/>
  <c r="J30" i="30"/>
  <c r="Q30" i="30"/>
  <c r="J31" i="30"/>
  <c r="Q31" i="30"/>
  <c r="J32" i="30"/>
  <c r="Q32" i="30"/>
  <c r="J33" i="30"/>
  <c r="Q33" i="30"/>
  <c r="J34" i="30"/>
  <c r="Q34" i="30"/>
  <c r="J35" i="30"/>
  <c r="Q35" i="30"/>
  <c r="J36" i="30"/>
  <c r="Q36" i="30"/>
  <c r="J37" i="30"/>
  <c r="Q37" i="30"/>
  <c r="J38" i="30"/>
  <c r="Q38" i="30"/>
  <c r="J39" i="30"/>
  <c r="Q39" i="30"/>
  <c r="J40" i="30"/>
  <c r="Q40" i="30"/>
  <c r="J41" i="30"/>
  <c r="Q41" i="30"/>
  <c r="J42" i="30"/>
  <c r="Q42" i="30"/>
  <c r="J43" i="30"/>
  <c r="Q43" i="30"/>
  <c r="J44" i="30"/>
  <c r="Q44" i="30"/>
  <c r="J45" i="30"/>
  <c r="Q45" i="30"/>
  <c r="J46" i="30"/>
  <c r="Q46" i="30"/>
  <c r="J47" i="30"/>
  <c r="Q47" i="30"/>
  <c r="J48" i="30"/>
  <c r="Q48" i="30"/>
  <c r="J49" i="30"/>
  <c r="Q49" i="30"/>
  <c r="J50" i="30"/>
  <c r="Q50" i="30"/>
  <c r="J51" i="30"/>
  <c r="Q51" i="30"/>
  <c r="J52" i="30"/>
  <c r="Q52" i="30"/>
  <c r="J53" i="30"/>
  <c r="Q53" i="30"/>
  <c r="J54" i="30"/>
  <c r="Q54" i="30"/>
  <c r="J55" i="30"/>
  <c r="Q55" i="30"/>
  <c r="J56" i="30"/>
  <c r="Q56" i="30"/>
  <c r="J57" i="30"/>
  <c r="Q57" i="30"/>
  <c r="J58" i="30"/>
  <c r="Q58" i="30"/>
  <c r="J59" i="30"/>
  <c r="Q59" i="30"/>
  <c r="J60" i="30"/>
  <c r="Q60" i="30"/>
  <c r="J61" i="30"/>
  <c r="Q61" i="30"/>
  <c r="J62" i="30"/>
  <c r="Q62" i="30"/>
  <c r="J63" i="30"/>
  <c r="Q63" i="30"/>
  <c r="J64" i="30"/>
  <c r="Q64" i="30"/>
  <c r="J65" i="30"/>
  <c r="Q65" i="30"/>
  <c r="J66" i="30"/>
  <c r="Q66" i="30"/>
  <c r="J67" i="30"/>
  <c r="Q67" i="30"/>
  <c r="J68" i="30"/>
  <c r="Q68" i="30"/>
  <c r="J69" i="30"/>
  <c r="Q69" i="30"/>
  <c r="J70" i="30"/>
  <c r="Q70" i="30"/>
  <c r="J71" i="30"/>
  <c r="Q71" i="30"/>
  <c r="J72" i="30"/>
  <c r="Q72" i="30"/>
  <c r="J73" i="30"/>
  <c r="Q73" i="30"/>
  <c r="J74" i="30"/>
  <c r="Q74" i="30"/>
  <c r="J75" i="30"/>
  <c r="Q75" i="30"/>
  <c r="J76" i="30"/>
  <c r="Q76" i="30"/>
  <c r="J77" i="30"/>
  <c r="Q77" i="30"/>
  <c r="J78" i="30"/>
  <c r="Q78" i="30"/>
  <c r="J79" i="30"/>
  <c r="Q79" i="30"/>
  <c r="J80" i="30"/>
  <c r="Q80" i="30"/>
  <c r="J81" i="30"/>
  <c r="Q81" i="30"/>
  <c r="J82" i="30"/>
  <c r="Q82" i="30"/>
  <c r="J83" i="30"/>
  <c r="Q83" i="30"/>
  <c r="J84" i="30"/>
  <c r="Q84" i="30"/>
  <c r="J85" i="30"/>
  <c r="Q85" i="30"/>
  <c r="J86" i="30"/>
  <c r="Q86" i="30"/>
  <c r="J87" i="30"/>
  <c r="Q87" i="30"/>
  <c r="J88" i="30"/>
  <c r="Q88" i="30"/>
  <c r="J89" i="30"/>
  <c r="Q89" i="30"/>
  <c r="J90" i="30"/>
  <c r="Q90" i="30"/>
  <c r="J91" i="30"/>
  <c r="Q91" i="30"/>
  <c r="J92" i="30"/>
  <c r="Q92" i="30"/>
  <c r="J93" i="30"/>
  <c r="Q93" i="30"/>
  <c r="J94" i="30"/>
  <c r="Q94" i="30"/>
  <c r="J95" i="30"/>
  <c r="Q95" i="30"/>
  <c r="J96" i="30"/>
  <c r="Q96" i="30"/>
  <c r="J97" i="30"/>
  <c r="Q97" i="30"/>
  <c r="J98" i="30"/>
  <c r="Q98" i="30"/>
  <c r="J99" i="30"/>
  <c r="Q99" i="30"/>
  <c r="J100" i="30"/>
  <c r="Q100" i="30"/>
  <c r="J101" i="30"/>
  <c r="Q101" i="30"/>
  <c r="J102" i="30"/>
  <c r="Q102" i="30"/>
  <c r="J103" i="30"/>
  <c r="Q103" i="30"/>
  <c r="J104" i="30"/>
  <c r="Q104" i="30"/>
  <c r="J105" i="30"/>
  <c r="Q105" i="30"/>
  <c r="J106" i="30"/>
  <c r="Q106" i="30"/>
  <c r="J107" i="30"/>
  <c r="Q107" i="30"/>
  <c r="J108" i="30"/>
  <c r="Q108" i="30"/>
  <c r="J109" i="30"/>
  <c r="Q109" i="30"/>
  <c r="J110" i="30"/>
  <c r="Q110" i="30"/>
  <c r="J111" i="30"/>
  <c r="Q111" i="30"/>
  <c r="J112" i="30"/>
  <c r="Q112" i="30"/>
  <c r="J113" i="30"/>
  <c r="Q113" i="30"/>
  <c r="J114" i="30"/>
  <c r="Q114" i="30"/>
  <c r="J115" i="30"/>
  <c r="Q115" i="30"/>
  <c r="J116" i="30"/>
  <c r="Q116" i="30"/>
  <c r="J117" i="30"/>
  <c r="Q117" i="30"/>
  <c r="J118" i="30"/>
  <c r="Q118" i="30"/>
  <c r="J119" i="30"/>
  <c r="Q119" i="30"/>
  <c r="J120" i="30"/>
  <c r="Q120" i="30"/>
  <c r="J121" i="30"/>
  <c r="Q121" i="30"/>
  <c r="J122" i="30"/>
  <c r="Q122" i="30"/>
  <c r="J123" i="30"/>
  <c r="Q123" i="30"/>
  <c r="J124" i="30"/>
  <c r="Q124" i="30"/>
  <c r="J125" i="30"/>
  <c r="Q125" i="30"/>
  <c r="J126" i="30"/>
  <c r="Q126" i="30"/>
  <c r="J127" i="30"/>
  <c r="Q127" i="30"/>
  <c r="J128" i="30"/>
  <c r="Q128" i="30"/>
  <c r="J129" i="30"/>
  <c r="Q129" i="30"/>
  <c r="J130" i="30"/>
  <c r="Q130" i="30"/>
  <c r="J131" i="30"/>
  <c r="Q131" i="30"/>
  <c r="J132" i="30"/>
  <c r="Q132" i="30"/>
  <c r="J133" i="30"/>
  <c r="Q133" i="30"/>
  <c r="J134" i="30"/>
  <c r="Q134" i="30"/>
  <c r="J135" i="30"/>
  <c r="Q135" i="30"/>
  <c r="J136" i="30"/>
  <c r="Q136" i="30"/>
  <c r="J137" i="30"/>
  <c r="Q137" i="30"/>
  <c r="J138" i="30"/>
  <c r="Q138" i="30"/>
  <c r="J139" i="30"/>
  <c r="Q139" i="30"/>
  <c r="J140" i="30"/>
  <c r="Q140" i="30"/>
  <c r="J141" i="30"/>
  <c r="Q141" i="30"/>
  <c r="J142" i="30"/>
  <c r="Q142" i="30"/>
  <c r="J143" i="30"/>
  <c r="Q143" i="30"/>
  <c r="J144" i="30"/>
  <c r="Q144" i="30"/>
  <c r="J145" i="30"/>
  <c r="Q145" i="30"/>
  <c r="J146" i="30"/>
  <c r="Q146" i="30"/>
  <c r="J147" i="30"/>
  <c r="Q147" i="30"/>
  <c r="J148" i="30"/>
  <c r="Q148" i="30"/>
  <c r="J149" i="30"/>
  <c r="Q149" i="30"/>
  <c r="J150" i="30"/>
  <c r="Q150" i="30"/>
  <c r="J151" i="30"/>
  <c r="Q151" i="30"/>
  <c r="J152" i="30"/>
  <c r="Q152" i="30"/>
  <c r="J153" i="30"/>
  <c r="Q153" i="30"/>
  <c r="J154" i="30"/>
  <c r="Q154" i="30"/>
  <c r="J155" i="30"/>
  <c r="Q155" i="30"/>
  <c r="J156" i="30"/>
  <c r="Q156" i="30"/>
  <c r="J157" i="30"/>
  <c r="Q157" i="30"/>
  <c r="J158" i="30"/>
  <c r="Q158" i="30"/>
  <c r="J159" i="30"/>
  <c r="Q159" i="30"/>
  <c r="J160" i="30"/>
  <c r="Q160" i="30"/>
  <c r="J161" i="30"/>
  <c r="Q161" i="30"/>
  <c r="J162" i="30"/>
  <c r="Q162" i="30"/>
  <c r="J163" i="30"/>
  <c r="Q163" i="30"/>
  <c r="J164" i="30"/>
  <c r="Q164" i="30"/>
  <c r="J165" i="30"/>
  <c r="Q165" i="30"/>
  <c r="J166" i="30"/>
  <c r="Q166" i="30"/>
  <c r="J167" i="30"/>
  <c r="Q167" i="30"/>
  <c r="J168" i="30"/>
  <c r="Q168" i="30"/>
  <c r="J169" i="30"/>
  <c r="Q169" i="30"/>
  <c r="J170" i="30"/>
  <c r="Q170" i="30"/>
  <c r="J171" i="30"/>
  <c r="Q171" i="30"/>
  <c r="J172" i="30"/>
  <c r="Q172" i="30"/>
  <c r="J173" i="30"/>
  <c r="Q173" i="30"/>
  <c r="J174" i="30"/>
  <c r="Q174" i="30"/>
  <c r="J175" i="30"/>
  <c r="Q175" i="30"/>
  <c r="J176" i="30"/>
  <c r="Q176" i="30"/>
  <c r="J177" i="30"/>
  <c r="Q177" i="30"/>
  <c r="J178" i="30"/>
  <c r="Q178" i="30"/>
  <c r="J179" i="30"/>
  <c r="Q179" i="30"/>
  <c r="J180" i="30"/>
  <c r="Q180" i="30"/>
  <c r="J181" i="30"/>
  <c r="Q181" i="30"/>
  <c r="J182" i="30"/>
  <c r="Q182" i="30"/>
  <c r="J183" i="30"/>
  <c r="Q183" i="30"/>
  <c r="J184" i="30"/>
  <c r="Q184" i="30"/>
  <c r="J185" i="30"/>
  <c r="Q185" i="30"/>
  <c r="J186" i="30"/>
  <c r="Q186" i="30"/>
  <c r="J187" i="30"/>
  <c r="Q187" i="30"/>
  <c r="J188" i="30"/>
  <c r="Q188" i="30"/>
  <c r="J189" i="30"/>
  <c r="Q189" i="30"/>
  <c r="J190" i="30"/>
  <c r="Q190" i="30"/>
  <c r="J191" i="30"/>
  <c r="Q191" i="30"/>
  <c r="J192" i="30"/>
  <c r="Q192" i="30"/>
  <c r="J193" i="30"/>
  <c r="Q193" i="30"/>
  <c r="J194" i="30"/>
  <c r="Q194" i="30"/>
  <c r="J195" i="30"/>
  <c r="Q195" i="30"/>
  <c r="J196" i="30"/>
  <c r="Q196" i="30"/>
  <c r="J197" i="30"/>
  <c r="Q197" i="30"/>
  <c r="J198" i="30"/>
  <c r="Q198" i="30"/>
  <c r="J199" i="30"/>
  <c r="Q199" i="30"/>
  <c r="J200" i="30"/>
  <c r="Q200" i="30"/>
  <c r="J201" i="30"/>
  <c r="Q201" i="30"/>
  <c r="J202" i="30"/>
  <c r="Q202" i="30"/>
  <c r="J203" i="30"/>
  <c r="Q203" i="30"/>
  <c r="J204" i="30"/>
  <c r="Q204" i="30"/>
  <c r="J205" i="30"/>
  <c r="Q205" i="30"/>
  <c r="J206" i="30"/>
  <c r="Q206" i="30"/>
  <c r="J207" i="30"/>
  <c r="Q207" i="30"/>
  <c r="J208" i="30"/>
  <c r="Q208" i="30"/>
  <c r="J209" i="30"/>
  <c r="Q209" i="30"/>
  <c r="J210" i="30"/>
  <c r="Q210" i="30"/>
  <c r="J211" i="30"/>
  <c r="Q211" i="30"/>
  <c r="J212" i="30"/>
  <c r="Q212" i="30"/>
  <c r="J213" i="30"/>
  <c r="Q213" i="30"/>
  <c r="J214" i="30"/>
  <c r="Q214" i="30"/>
  <c r="J215" i="30"/>
  <c r="Q215" i="30"/>
  <c r="J216" i="30"/>
  <c r="Q216" i="30"/>
  <c r="J217" i="30"/>
  <c r="Q217" i="30"/>
  <c r="J218" i="30"/>
  <c r="Q218" i="30"/>
  <c r="J219" i="30"/>
  <c r="Q219" i="30"/>
  <c r="J220" i="30"/>
  <c r="Q220" i="30"/>
  <c r="J221" i="30"/>
  <c r="Q221" i="30"/>
  <c r="J222" i="30"/>
  <c r="Q222" i="30"/>
  <c r="J223" i="30"/>
  <c r="Q223" i="30"/>
  <c r="J224" i="30"/>
  <c r="Q224" i="30"/>
  <c r="J225" i="30"/>
  <c r="Q225" i="30"/>
  <c r="J226" i="30"/>
  <c r="Q226" i="30"/>
  <c r="J227" i="30"/>
  <c r="Q227" i="30"/>
  <c r="J228" i="30"/>
  <c r="Q228" i="30"/>
  <c r="J229" i="30"/>
  <c r="Q229" i="30"/>
  <c r="J230" i="30"/>
  <c r="Q230" i="30"/>
  <c r="J231" i="30"/>
  <c r="Q231" i="30"/>
  <c r="J232" i="30"/>
  <c r="Q232" i="30"/>
  <c r="J233" i="30"/>
  <c r="Q233" i="30"/>
  <c r="J234" i="30"/>
  <c r="Q234" i="30"/>
  <c r="J235" i="30"/>
  <c r="Q235" i="30"/>
  <c r="J236" i="30"/>
  <c r="Q236" i="30"/>
  <c r="J237" i="30"/>
  <c r="Q237" i="30"/>
  <c r="J238" i="30"/>
  <c r="Q238" i="30"/>
  <c r="J239" i="30"/>
  <c r="Q239" i="30"/>
  <c r="J240" i="30"/>
  <c r="Q240" i="30"/>
  <c r="J241" i="30"/>
  <c r="Q241" i="30"/>
  <c r="J242" i="30"/>
  <c r="Q242" i="30"/>
  <c r="J243" i="30"/>
  <c r="Q243" i="30"/>
  <c r="J244" i="30"/>
  <c r="Q244" i="30"/>
  <c r="J245" i="30"/>
  <c r="Q245" i="30"/>
  <c r="J246" i="30"/>
  <c r="Q246" i="30"/>
  <c r="J247" i="30"/>
  <c r="Q247" i="30"/>
  <c r="J248" i="30"/>
  <c r="Q248" i="30"/>
  <c r="J249" i="30"/>
  <c r="Q249" i="30"/>
  <c r="J250" i="30"/>
  <c r="Q250" i="30"/>
  <c r="J251" i="30"/>
  <c r="Q251" i="30"/>
  <c r="J252" i="30"/>
  <c r="Q252" i="30"/>
  <c r="J253" i="30"/>
  <c r="Q253" i="30"/>
  <c r="J254" i="30"/>
  <c r="Q254" i="30"/>
  <c r="J255" i="30"/>
  <c r="Q255" i="30"/>
  <c r="J256" i="30"/>
  <c r="Q256" i="30"/>
  <c r="J257" i="30"/>
  <c r="Q257" i="30"/>
  <c r="J258" i="30"/>
  <c r="Q258" i="30"/>
  <c r="J259" i="30"/>
  <c r="Q259" i="30"/>
  <c r="J260" i="30"/>
  <c r="Q260" i="30"/>
  <c r="J261" i="30"/>
  <c r="Q261" i="30"/>
  <c r="J262" i="30"/>
  <c r="Q262" i="30"/>
  <c r="J263" i="30"/>
  <c r="Q263" i="30"/>
  <c r="J264" i="30"/>
  <c r="Q264" i="30"/>
  <c r="J265" i="30"/>
  <c r="Q265" i="30"/>
  <c r="J266" i="30"/>
  <c r="Q266" i="30"/>
  <c r="J267" i="30"/>
  <c r="Q267" i="30"/>
  <c r="J268" i="30"/>
  <c r="Q268" i="30"/>
  <c r="J269" i="30"/>
  <c r="Q269" i="30"/>
  <c r="J270" i="30"/>
  <c r="Q270" i="30"/>
  <c r="J271" i="30"/>
  <c r="Q271" i="30"/>
  <c r="J272" i="30"/>
  <c r="Q272" i="30"/>
  <c r="J273" i="30"/>
  <c r="Q273" i="30"/>
  <c r="J274" i="30"/>
  <c r="Q274" i="30"/>
  <c r="J275" i="30"/>
  <c r="Q275" i="30"/>
  <c r="J276" i="30"/>
  <c r="Q276" i="30"/>
  <c r="J277" i="30"/>
  <c r="Q277" i="30"/>
  <c r="J278" i="30"/>
  <c r="Q278" i="30"/>
  <c r="J279" i="30"/>
  <c r="Q279" i="30"/>
  <c r="J280" i="30"/>
  <c r="Q280" i="30"/>
  <c r="J281" i="30"/>
  <c r="Q281" i="30"/>
  <c r="J282" i="30"/>
  <c r="Q282" i="30"/>
  <c r="J283" i="30"/>
  <c r="Q283" i="30"/>
  <c r="J284" i="30"/>
  <c r="Q284" i="30"/>
  <c r="J285" i="30"/>
  <c r="Q285" i="30"/>
  <c r="J286" i="30"/>
  <c r="Q286" i="30"/>
  <c r="J287" i="30"/>
  <c r="Q287" i="30"/>
  <c r="J288" i="30"/>
  <c r="Q288" i="30"/>
  <c r="J289" i="30"/>
  <c r="Q289" i="30"/>
  <c r="J290" i="30"/>
  <c r="Q290" i="30"/>
  <c r="J291" i="30"/>
  <c r="Q291" i="30"/>
  <c r="J292" i="30"/>
  <c r="Q292" i="30"/>
  <c r="J293" i="30"/>
  <c r="Q293" i="30"/>
  <c r="J294" i="30"/>
  <c r="Q294" i="30"/>
  <c r="J295" i="30"/>
  <c r="Q295" i="30"/>
  <c r="J296" i="30"/>
  <c r="Q296" i="30"/>
  <c r="J297" i="30"/>
  <c r="Q297" i="30"/>
  <c r="J298" i="30"/>
  <c r="Q298" i="30"/>
  <c r="J299" i="30"/>
  <c r="Q299" i="30"/>
  <c r="J300" i="30"/>
  <c r="Q300" i="30"/>
  <c r="J301" i="30"/>
  <c r="Q301" i="30"/>
  <c r="J302" i="30"/>
  <c r="Q302" i="30"/>
  <c r="J303" i="30"/>
  <c r="Q303" i="30"/>
  <c r="J304" i="30"/>
  <c r="Q304" i="30"/>
  <c r="J305" i="30"/>
  <c r="Q305" i="30"/>
  <c r="J306" i="30"/>
  <c r="Q306" i="30"/>
  <c r="J307" i="30"/>
  <c r="Q307" i="30"/>
  <c r="J308" i="30"/>
  <c r="Q308" i="30"/>
  <c r="J309" i="30"/>
  <c r="Q309" i="30"/>
  <c r="J310" i="30"/>
  <c r="Q310" i="30"/>
  <c r="J311" i="30"/>
  <c r="Q311" i="30"/>
  <c r="J312" i="30"/>
  <c r="Q312" i="30"/>
  <c r="J313" i="30"/>
  <c r="Q313" i="30"/>
  <c r="J314" i="30"/>
  <c r="Q314" i="30"/>
  <c r="J315" i="30"/>
  <c r="Q315" i="30"/>
  <c r="J316" i="30"/>
  <c r="Q316" i="30"/>
  <c r="J317" i="30"/>
  <c r="Q317" i="30"/>
  <c r="J318" i="30"/>
  <c r="Q318" i="30"/>
  <c r="J319" i="30"/>
  <c r="Q319" i="30"/>
  <c r="J320" i="30"/>
  <c r="Q320" i="30"/>
  <c r="J321" i="30"/>
  <c r="Q321" i="30"/>
  <c r="J322" i="30"/>
  <c r="Q322" i="30"/>
  <c r="J323" i="30"/>
  <c r="Q323" i="30"/>
  <c r="J324" i="30"/>
  <c r="Q324" i="30"/>
  <c r="J325" i="30"/>
  <c r="Q325" i="30"/>
  <c r="J326" i="30"/>
  <c r="Q326" i="30"/>
  <c r="J327" i="30"/>
  <c r="Q327" i="30"/>
  <c r="J328" i="30"/>
  <c r="Q328" i="30"/>
  <c r="J329" i="30"/>
  <c r="Q329" i="30"/>
  <c r="J330" i="30"/>
  <c r="Q330" i="30"/>
  <c r="J331" i="30"/>
  <c r="Q331" i="30"/>
  <c r="J332" i="30"/>
  <c r="Q332" i="30"/>
  <c r="J333" i="30"/>
  <c r="Q333" i="30"/>
  <c r="J334" i="30"/>
  <c r="Q334" i="30"/>
  <c r="J335" i="30"/>
  <c r="Q335" i="30"/>
  <c r="J336" i="30"/>
  <c r="Q336" i="30"/>
  <c r="J337" i="30"/>
  <c r="Q337" i="30"/>
  <c r="J338" i="30"/>
  <c r="Q338" i="30"/>
  <c r="J339" i="30"/>
  <c r="Q339" i="30"/>
  <c r="J340" i="30"/>
  <c r="Q340" i="30"/>
  <c r="J341" i="30"/>
  <c r="Q341" i="30"/>
  <c r="J342" i="30"/>
  <c r="Q342" i="30"/>
  <c r="J343" i="30"/>
  <c r="Q343" i="30"/>
  <c r="J344" i="30"/>
  <c r="Q344" i="30"/>
  <c r="J345" i="30"/>
  <c r="Q345" i="30"/>
  <c r="J346" i="30"/>
  <c r="Q346" i="30"/>
  <c r="J347" i="30"/>
  <c r="Q347" i="30"/>
  <c r="J348" i="30"/>
  <c r="Q348" i="30"/>
  <c r="J349" i="30"/>
  <c r="Q349" i="30"/>
  <c r="J350" i="30"/>
  <c r="Q350" i="30"/>
  <c r="J351" i="30"/>
  <c r="Q351" i="30"/>
  <c r="J352" i="30"/>
  <c r="Q352" i="30"/>
  <c r="J353" i="30"/>
  <c r="Q353" i="30"/>
  <c r="J354" i="30"/>
  <c r="Q354" i="30"/>
  <c r="J355" i="30"/>
  <c r="Q355" i="30"/>
  <c r="J356" i="30"/>
  <c r="Q356" i="30"/>
  <c r="J357" i="30"/>
  <c r="Q357" i="30"/>
  <c r="J358" i="30"/>
  <c r="Q358" i="30"/>
  <c r="J359" i="30"/>
  <c r="Q359" i="30"/>
  <c r="J360" i="30"/>
  <c r="Q360" i="30"/>
  <c r="J361" i="30"/>
  <c r="Q361" i="30"/>
  <c r="J362" i="30"/>
  <c r="Q362" i="30"/>
  <c r="J363" i="30"/>
  <c r="Q363" i="30"/>
  <c r="J364" i="30"/>
  <c r="Q364" i="30"/>
  <c r="J365" i="30"/>
  <c r="Q365" i="30"/>
  <c r="J366" i="30"/>
  <c r="Q366" i="30"/>
  <c r="J367" i="30"/>
  <c r="Q367" i="30"/>
  <c r="J368" i="30"/>
  <c r="Q368" i="30"/>
  <c r="J369" i="30"/>
  <c r="Q369" i="30"/>
  <c r="J370" i="30"/>
  <c r="Q370" i="30"/>
  <c r="J371" i="30"/>
  <c r="Q371" i="30"/>
  <c r="J372" i="30"/>
  <c r="Q372" i="30"/>
  <c r="J373" i="30"/>
  <c r="Q373" i="30"/>
  <c r="J374" i="30"/>
  <c r="Q374" i="30"/>
  <c r="J375" i="30"/>
  <c r="Q375" i="30"/>
  <c r="J376" i="30"/>
  <c r="Q376" i="30"/>
  <c r="J377" i="30"/>
  <c r="Q377" i="30"/>
  <c r="J378" i="30"/>
  <c r="Q378" i="30"/>
  <c r="J379" i="30"/>
  <c r="Q379" i="30"/>
  <c r="J380" i="30"/>
  <c r="Q380" i="30"/>
  <c r="J381" i="30"/>
  <c r="Q381" i="30"/>
  <c r="J382" i="30"/>
  <c r="Q382" i="30"/>
  <c r="J383" i="30"/>
  <c r="Q383" i="30"/>
  <c r="J384" i="30"/>
  <c r="Q384" i="30"/>
  <c r="J385" i="30"/>
  <c r="Q385" i="30"/>
  <c r="J386" i="30"/>
  <c r="Q386" i="30"/>
  <c r="J387" i="30"/>
  <c r="Q387" i="30"/>
  <c r="J388" i="30"/>
  <c r="Q388" i="30"/>
  <c r="J389" i="30"/>
  <c r="Q389" i="30"/>
  <c r="J390" i="30"/>
  <c r="Q390" i="30"/>
  <c r="J391" i="30"/>
  <c r="Q391" i="30"/>
  <c r="J392" i="30"/>
  <c r="Q392" i="30"/>
  <c r="J393" i="30"/>
  <c r="Q393" i="30"/>
  <c r="J394" i="30"/>
  <c r="Q394" i="30"/>
  <c r="J395" i="30"/>
  <c r="Q395" i="30"/>
  <c r="J396" i="30"/>
  <c r="Q396" i="30"/>
  <c r="J397" i="30"/>
  <c r="Q397" i="30"/>
  <c r="J398" i="30"/>
  <c r="Q398" i="30"/>
  <c r="J399" i="30"/>
  <c r="Q399" i="30"/>
  <c r="J400" i="30"/>
  <c r="Q400" i="30"/>
  <c r="J401" i="30"/>
  <c r="Q401" i="30"/>
  <c r="J402" i="30"/>
  <c r="Q402" i="30"/>
  <c r="J403" i="30"/>
  <c r="Q403" i="30"/>
  <c r="J404" i="30"/>
  <c r="Q404" i="30"/>
  <c r="J405" i="30"/>
  <c r="Q405" i="30"/>
  <c r="J406" i="30"/>
  <c r="Q406" i="30"/>
  <c r="J407" i="30"/>
  <c r="Q407" i="30"/>
  <c r="J408" i="30"/>
  <c r="Q408" i="30"/>
  <c r="J409" i="30"/>
  <c r="Q409" i="30"/>
  <c r="J410" i="30"/>
  <c r="Q410" i="30"/>
  <c r="J411" i="30"/>
  <c r="Q411" i="30"/>
  <c r="J412" i="30"/>
  <c r="Q412" i="30"/>
  <c r="J413" i="30"/>
  <c r="Q413" i="30"/>
  <c r="J414" i="30"/>
  <c r="Q414" i="30"/>
  <c r="J415" i="30"/>
  <c r="Q415" i="30"/>
  <c r="J416" i="30"/>
  <c r="Q416" i="30"/>
  <c r="J417" i="30"/>
  <c r="Q417" i="30"/>
  <c r="J418" i="30"/>
  <c r="Q418" i="30"/>
  <c r="J419" i="30"/>
  <c r="Q419" i="30"/>
  <c r="J420" i="30"/>
  <c r="Q420" i="30"/>
  <c r="J421" i="30"/>
  <c r="Q421" i="30"/>
  <c r="J422" i="30"/>
  <c r="Q422" i="30"/>
  <c r="J423" i="30"/>
  <c r="Q423" i="30"/>
  <c r="J424" i="30"/>
  <c r="Q424" i="30"/>
  <c r="J425" i="30"/>
  <c r="Q425" i="30"/>
  <c r="J426" i="30"/>
  <c r="Q426" i="30"/>
  <c r="J427" i="30"/>
  <c r="Q427" i="30"/>
  <c r="J428" i="30"/>
  <c r="Q428" i="30"/>
  <c r="J429" i="30"/>
  <c r="Q429" i="30"/>
  <c r="J430" i="30"/>
  <c r="Q430" i="30"/>
  <c r="J431" i="30"/>
  <c r="Q431" i="30"/>
  <c r="J432" i="30"/>
  <c r="Q432" i="30"/>
  <c r="J433" i="30"/>
  <c r="Q433" i="30"/>
  <c r="J434" i="30"/>
  <c r="Q434" i="30"/>
  <c r="J435" i="30"/>
  <c r="Q435" i="30"/>
  <c r="J436" i="30"/>
  <c r="Q436" i="30"/>
  <c r="J437" i="30"/>
  <c r="Q437" i="30"/>
  <c r="J438" i="30"/>
  <c r="Q438" i="30"/>
  <c r="J439" i="30"/>
  <c r="Q439" i="30"/>
  <c r="J440" i="30"/>
  <c r="Q440" i="30"/>
  <c r="J441" i="30"/>
  <c r="Q441" i="30"/>
  <c r="J442" i="30"/>
  <c r="Q442" i="30"/>
  <c r="J443" i="30"/>
  <c r="Q443" i="30"/>
  <c r="J444" i="30"/>
  <c r="Q444" i="30"/>
  <c r="J445" i="30"/>
  <c r="Q445" i="30"/>
  <c r="J446" i="30"/>
  <c r="Q446" i="30"/>
  <c r="J447" i="30"/>
  <c r="Q447" i="30"/>
  <c r="J448" i="30"/>
  <c r="Q448" i="30"/>
  <c r="J449" i="30"/>
  <c r="Q449" i="30"/>
  <c r="J450" i="30"/>
  <c r="Q450" i="30"/>
  <c r="J451" i="30"/>
  <c r="Q451" i="30"/>
  <c r="J452" i="30"/>
  <c r="Q452" i="30"/>
  <c r="J453" i="30"/>
  <c r="Q453" i="30"/>
  <c r="J454" i="30"/>
  <c r="Q454" i="30"/>
  <c r="J455" i="30"/>
  <c r="Q455" i="30"/>
  <c r="J456" i="30"/>
  <c r="Q456" i="30"/>
  <c r="J457" i="30"/>
  <c r="Q457" i="30"/>
  <c r="J458" i="30"/>
  <c r="Q458" i="30"/>
  <c r="J459" i="30"/>
  <c r="Q459" i="30"/>
  <c r="J460" i="30"/>
  <c r="Q460" i="30"/>
  <c r="J461" i="30"/>
  <c r="Q461" i="30"/>
  <c r="J462" i="30"/>
  <c r="Q462" i="30"/>
  <c r="J463" i="30"/>
  <c r="Q463" i="30"/>
  <c r="J464" i="30"/>
  <c r="Q464" i="30"/>
  <c r="J465" i="30"/>
  <c r="Q465" i="30"/>
  <c r="J466" i="30"/>
  <c r="Q466" i="30"/>
  <c r="J467" i="30"/>
  <c r="Q467" i="30"/>
  <c r="J468" i="30"/>
  <c r="Q468" i="30"/>
  <c r="J469" i="30"/>
  <c r="Q469" i="30"/>
  <c r="J470" i="30"/>
  <c r="Q470" i="30"/>
  <c r="J471" i="30"/>
  <c r="Q471" i="30"/>
  <c r="J472" i="30"/>
  <c r="Q472" i="30"/>
  <c r="J473" i="30"/>
  <c r="Q473" i="30"/>
  <c r="J474" i="30"/>
  <c r="Q474" i="30"/>
  <c r="J475" i="30"/>
  <c r="Q475" i="30"/>
  <c r="J476" i="30"/>
  <c r="Q476" i="30"/>
  <c r="J477" i="30"/>
  <c r="Q477" i="30"/>
  <c r="J478" i="30"/>
  <c r="Q478" i="30"/>
  <c r="J479" i="30"/>
  <c r="Q479" i="30"/>
  <c r="J480" i="30"/>
  <c r="Q480" i="30"/>
  <c r="J481" i="30"/>
  <c r="Q481" i="30"/>
  <c r="J482" i="30"/>
  <c r="Q482" i="30"/>
  <c r="J483" i="30"/>
  <c r="Q483" i="30"/>
  <c r="J484" i="30"/>
  <c r="Q484" i="30"/>
  <c r="J485" i="30"/>
  <c r="Q485" i="30"/>
  <c r="J486" i="30"/>
  <c r="Q486" i="30"/>
  <c r="J487" i="30"/>
  <c r="Q487" i="30"/>
  <c r="J488" i="30"/>
  <c r="Q488" i="30"/>
  <c r="J489" i="30"/>
  <c r="Q489" i="30"/>
  <c r="J490" i="30"/>
  <c r="Q490" i="30"/>
  <c r="J491" i="30"/>
  <c r="Q491" i="30"/>
  <c r="J492" i="30"/>
  <c r="Q492" i="30"/>
  <c r="J493" i="30"/>
  <c r="Q493" i="30"/>
  <c r="J494" i="30"/>
  <c r="Q494" i="30"/>
  <c r="J495" i="30"/>
  <c r="Q495" i="30"/>
  <c r="J496" i="30"/>
  <c r="Q496" i="30"/>
  <c r="J497" i="30"/>
  <c r="Q497" i="30"/>
  <c r="J498" i="30"/>
  <c r="Q498" i="30"/>
  <c r="J499" i="30"/>
  <c r="Q499" i="30"/>
  <c r="J500" i="30"/>
  <c r="Q500" i="30"/>
  <c r="J501" i="30"/>
  <c r="Q501" i="30"/>
  <c r="J502" i="30"/>
  <c r="Q502" i="30"/>
  <c r="J503" i="30"/>
  <c r="Q503" i="30"/>
  <c r="J504" i="30"/>
  <c r="Q504" i="30"/>
  <c r="J505" i="30"/>
  <c r="Q505" i="30"/>
  <c r="J506" i="30"/>
  <c r="Q506" i="30"/>
  <c r="J507" i="30"/>
  <c r="Q507" i="30"/>
  <c r="J508" i="30"/>
  <c r="Q508" i="30"/>
  <c r="J509" i="30"/>
  <c r="Q509" i="30"/>
  <c r="J510" i="30"/>
  <c r="Q510" i="30"/>
  <c r="J511" i="30"/>
  <c r="Q511" i="30"/>
  <c r="J512" i="30"/>
  <c r="Q512" i="30"/>
  <c r="J513" i="30"/>
  <c r="Q513" i="30"/>
  <c r="J514" i="30"/>
  <c r="Q514" i="30"/>
  <c r="J515" i="30"/>
  <c r="Q515" i="30"/>
  <c r="J516" i="30"/>
  <c r="Q516" i="30"/>
  <c r="J517" i="30"/>
  <c r="Q517" i="30"/>
  <c r="J518" i="30"/>
  <c r="Q518" i="30"/>
  <c r="J519" i="30"/>
  <c r="Q519" i="30"/>
  <c r="J520" i="30"/>
  <c r="Q520" i="30"/>
  <c r="J521" i="30"/>
  <c r="Q521" i="30"/>
  <c r="J522" i="30"/>
  <c r="Q522" i="30"/>
  <c r="J523" i="30"/>
  <c r="Q523" i="30"/>
  <c r="J524" i="30"/>
  <c r="Q524" i="30"/>
  <c r="J525" i="30"/>
  <c r="Q525" i="30"/>
  <c r="J526" i="30"/>
  <c r="Q526" i="30"/>
  <c r="J527" i="30"/>
  <c r="Q527" i="30"/>
  <c r="J528" i="30"/>
  <c r="Q528" i="30"/>
  <c r="J529" i="30"/>
  <c r="Q529" i="30"/>
  <c r="J530" i="30"/>
  <c r="Q530" i="30"/>
  <c r="J531" i="30"/>
  <c r="Q531" i="30"/>
  <c r="J532" i="30"/>
  <c r="Q532" i="30"/>
  <c r="J533" i="30"/>
  <c r="Q533" i="30"/>
  <c r="J534" i="30"/>
  <c r="Q534" i="30"/>
  <c r="J535" i="30"/>
  <c r="Q535" i="30"/>
  <c r="J536" i="30"/>
  <c r="Q536" i="30"/>
  <c r="J537" i="30"/>
  <c r="Q537" i="30"/>
  <c r="J538" i="30"/>
  <c r="Q538" i="30"/>
  <c r="J539" i="30"/>
  <c r="Q539" i="30"/>
  <c r="J540" i="30"/>
  <c r="Q540" i="30"/>
  <c r="J541" i="30"/>
  <c r="Q541" i="30"/>
  <c r="J542" i="30"/>
  <c r="Q542" i="30"/>
  <c r="J543" i="30"/>
  <c r="Q543" i="30"/>
  <c r="J544" i="30"/>
  <c r="Q544" i="30"/>
  <c r="J545" i="30"/>
  <c r="Q545" i="30"/>
  <c r="J546" i="30"/>
  <c r="Q546" i="30"/>
  <c r="J547" i="30"/>
  <c r="Q547" i="30"/>
  <c r="J548" i="30"/>
  <c r="Q548" i="30"/>
  <c r="J549" i="30"/>
  <c r="Q549" i="30"/>
  <c r="J550" i="30"/>
  <c r="Q550" i="30"/>
  <c r="J551" i="30"/>
  <c r="Q551" i="30"/>
  <c r="J552" i="30"/>
  <c r="Q552" i="30"/>
  <c r="J553" i="30"/>
  <c r="Q553" i="30"/>
  <c r="J554" i="30"/>
  <c r="Q554" i="30"/>
  <c r="J555" i="30"/>
  <c r="Q555" i="30"/>
  <c r="J556" i="30"/>
  <c r="Q556" i="30"/>
  <c r="J557" i="30"/>
  <c r="Q557" i="30"/>
  <c r="J558" i="30"/>
  <c r="Q558" i="30"/>
  <c r="J559" i="30"/>
  <c r="Q559" i="30"/>
  <c r="J560" i="30"/>
  <c r="Q560" i="30"/>
  <c r="J561" i="30"/>
  <c r="Q561" i="30"/>
  <c r="J562" i="30"/>
  <c r="Q562" i="30"/>
  <c r="J563" i="30"/>
  <c r="Q563" i="30"/>
  <c r="J564" i="30"/>
  <c r="Q564" i="30"/>
  <c r="J565" i="30"/>
  <c r="Q565" i="30"/>
  <c r="J566" i="30"/>
  <c r="Q566" i="30"/>
  <c r="J567" i="30"/>
  <c r="Q567" i="30"/>
  <c r="J568" i="30"/>
  <c r="Q568" i="30"/>
  <c r="J569" i="30"/>
  <c r="Q569" i="30"/>
  <c r="J570" i="30"/>
  <c r="Q570" i="30"/>
  <c r="J571" i="30"/>
  <c r="Q571" i="30"/>
  <c r="J572" i="30"/>
  <c r="Q572" i="30"/>
  <c r="J573" i="30"/>
  <c r="Q573" i="30"/>
  <c r="J574" i="30"/>
  <c r="Q574" i="30"/>
  <c r="J575" i="30"/>
  <c r="Q575" i="30"/>
  <c r="J576" i="30"/>
  <c r="Q576" i="30"/>
  <c r="J577" i="30"/>
  <c r="Q577" i="30"/>
  <c r="J578" i="30"/>
  <c r="Q578" i="30"/>
  <c r="J579" i="30"/>
  <c r="Q579" i="30"/>
  <c r="J580" i="30"/>
  <c r="Q580" i="30"/>
  <c r="J581" i="30"/>
  <c r="Q581" i="30"/>
  <c r="J582" i="30"/>
  <c r="Q582" i="30"/>
  <c r="J583" i="30"/>
  <c r="Q583" i="30"/>
  <c r="J584" i="30"/>
  <c r="Q584" i="30"/>
  <c r="J585" i="30"/>
  <c r="Q585" i="30"/>
  <c r="J586" i="30"/>
  <c r="Q586" i="30"/>
  <c r="J587" i="30"/>
  <c r="Q587" i="30"/>
  <c r="J588" i="30"/>
  <c r="Q588" i="30"/>
  <c r="J589" i="30"/>
  <c r="Q589" i="30"/>
  <c r="J590" i="30"/>
  <c r="Q590" i="30"/>
  <c r="J591" i="30"/>
  <c r="Q591" i="30"/>
  <c r="J592" i="30"/>
  <c r="Q592" i="30"/>
  <c r="J593" i="30"/>
  <c r="Q593" i="30"/>
  <c r="J594" i="30"/>
  <c r="Q594" i="30"/>
  <c r="J595" i="30"/>
  <c r="Q595" i="30"/>
  <c r="J596" i="30"/>
  <c r="Q596" i="30"/>
  <c r="J597" i="30"/>
  <c r="Q597" i="30"/>
  <c r="J598" i="30"/>
  <c r="Q598" i="30"/>
  <c r="J599" i="30"/>
  <c r="Q599" i="30"/>
  <c r="J600" i="30"/>
  <c r="Q600" i="30"/>
  <c r="J601" i="30"/>
  <c r="Q601" i="30"/>
  <c r="J602" i="30"/>
  <c r="Q602" i="30"/>
  <c r="J603" i="30"/>
  <c r="Q603" i="30"/>
  <c r="J604" i="30"/>
  <c r="Q604" i="30"/>
  <c r="J605" i="30"/>
  <c r="Q605" i="30"/>
  <c r="J606" i="30"/>
  <c r="Q606" i="30"/>
  <c r="J607" i="30"/>
  <c r="Q607" i="30"/>
  <c r="J608" i="30"/>
  <c r="Q608" i="30"/>
  <c r="J609" i="30"/>
  <c r="Q609" i="30"/>
  <c r="J610" i="30"/>
  <c r="Q610" i="30"/>
  <c r="J611" i="30"/>
  <c r="Q611" i="30"/>
  <c r="J612" i="30"/>
  <c r="Q612" i="30"/>
  <c r="J613" i="30"/>
  <c r="Q613" i="30"/>
  <c r="J614" i="30"/>
  <c r="Q614" i="30"/>
  <c r="J615" i="30"/>
  <c r="Q615" i="30"/>
  <c r="J616" i="30"/>
  <c r="Q616" i="30"/>
  <c r="J617" i="30"/>
  <c r="Q617" i="30"/>
  <c r="J618" i="30"/>
  <c r="Q618" i="30"/>
  <c r="J619" i="30"/>
  <c r="Q619" i="30"/>
  <c r="J620" i="30"/>
  <c r="Q620" i="30"/>
  <c r="J621" i="30"/>
  <c r="Q621" i="30"/>
  <c r="J622" i="30"/>
  <c r="Q622" i="30"/>
  <c r="J623" i="30"/>
  <c r="Q623" i="30"/>
  <c r="J624" i="30"/>
  <c r="Q624" i="30"/>
  <c r="J625" i="30"/>
  <c r="Q625" i="30"/>
  <c r="J626" i="30"/>
  <c r="Q626" i="30"/>
  <c r="J627" i="30"/>
  <c r="Q627" i="30"/>
  <c r="J628" i="30"/>
  <c r="Q628" i="30"/>
  <c r="J629" i="30"/>
  <c r="Q629" i="30"/>
  <c r="J630" i="30"/>
  <c r="Q630" i="30"/>
  <c r="J631" i="30"/>
  <c r="Q631" i="30"/>
  <c r="J632" i="30"/>
  <c r="Q632" i="30"/>
  <c r="J633" i="30"/>
  <c r="Q633" i="30"/>
  <c r="J634" i="30"/>
  <c r="Q634" i="30"/>
  <c r="J635" i="30"/>
  <c r="Q635" i="30"/>
  <c r="J636" i="30"/>
  <c r="Q636" i="30"/>
  <c r="J637" i="30"/>
  <c r="Q637" i="30"/>
  <c r="J638" i="30"/>
  <c r="Q638" i="30"/>
  <c r="J639" i="30"/>
  <c r="Q639" i="30"/>
  <c r="J640" i="30"/>
  <c r="Q640" i="30"/>
  <c r="J641" i="30"/>
  <c r="Q641" i="30"/>
  <c r="J642" i="30"/>
  <c r="Q642" i="30"/>
  <c r="J643" i="30"/>
  <c r="Q643" i="30"/>
  <c r="J644" i="30"/>
  <c r="Q644" i="30"/>
  <c r="J645" i="30"/>
  <c r="Q645" i="30"/>
  <c r="J646" i="30"/>
  <c r="Q646" i="30"/>
  <c r="J647" i="30"/>
  <c r="Q647" i="30"/>
  <c r="J648" i="30"/>
  <c r="Q648" i="30"/>
  <c r="J649" i="30"/>
  <c r="Q649" i="30"/>
  <c r="J650" i="30"/>
  <c r="Q650" i="30"/>
  <c r="J651" i="30"/>
  <c r="Q651" i="30"/>
  <c r="J652" i="30"/>
  <c r="Q652" i="30"/>
  <c r="J653" i="30"/>
  <c r="Q653" i="30"/>
  <c r="J654" i="30"/>
  <c r="Q654" i="30"/>
  <c r="J655" i="30"/>
  <c r="Q655" i="30"/>
  <c r="J656" i="30"/>
  <c r="Q656" i="30"/>
  <c r="J657" i="30"/>
  <c r="Q657" i="30"/>
  <c r="J658" i="30"/>
  <c r="Q658" i="30"/>
  <c r="J659" i="30"/>
  <c r="Q659" i="30"/>
  <c r="J660" i="30"/>
  <c r="Q660" i="30"/>
  <c r="J661" i="30"/>
  <c r="Q661" i="30"/>
  <c r="J662" i="30"/>
  <c r="Q662" i="30"/>
  <c r="J663" i="30"/>
  <c r="Q663" i="30"/>
  <c r="J664" i="30"/>
  <c r="Q664" i="30"/>
  <c r="J665" i="30"/>
  <c r="Q665" i="30"/>
  <c r="J666" i="30"/>
  <c r="Q666" i="30"/>
  <c r="J667" i="30"/>
  <c r="Q667" i="30"/>
  <c r="J668" i="30"/>
  <c r="Q668" i="30"/>
  <c r="J669" i="30"/>
  <c r="Q669" i="30"/>
  <c r="J670" i="30"/>
  <c r="Q670" i="30"/>
  <c r="J671" i="30"/>
  <c r="Q671" i="30"/>
  <c r="J672" i="30"/>
  <c r="Q672" i="30"/>
  <c r="J673" i="30"/>
  <c r="Q673" i="30"/>
  <c r="J674" i="30"/>
  <c r="Q674" i="30"/>
  <c r="J675" i="30"/>
  <c r="Q675" i="30"/>
  <c r="J676" i="30"/>
  <c r="Q676" i="30"/>
  <c r="J677" i="30"/>
  <c r="Q677" i="30"/>
  <c r="J678" i="30"/>
  <c r="Q678" i="30"/>
  <c r="J679" i="30"/>
  <c r="Q679" i="30"/>
  <c r="J680" i="30"/>
  <c r="Q680" i="30"/>
  <c r="J681" i="30"/>
  <c r="Q681" i="30"/>
  <c r="J682" i="30"/>
  <c r="Q682" i="30"/>
  <c r="J683" i="30"/>
  <c r="Q683" i="30"/>
  <c r="J684" i="30"/>
  <c r="Q684" i="30"/>
  <c r="J685" i="30"/>
  <c r="Q685" i="30"/>
  <c r="J686" i="30"/>
  <c r="Q686" i="30"/>
  <c r="J687" i="30"/>
  <c r="Q687" i="30"/>
  <c r="J688" i="30"/>
  <c r="Q688" i="30"/>
  <c r="J689" i="30"/>
  <c r="Q689" i="30"/>
  <c r="J690" i="30"/>
  <c r="Q690" i="30"/>
  <c r="J691" i="30"/>
  <c r="Q691" i="30"/>
  <c r="J692" i="30"/>
  <c r="Q692" i="30"/>
  <c r="J693" i="30"/>
  <c r="Q693" i="30"/>
  <c r="J694" i="30"/>
  <c r="Q694" i="30"/>
  <c r="J695" i="30"/>
  <c r="Q695" i="30"/>
  <c r="J696" i="30"/>
  <c r="Q696" i="30"/>
  <c r="J697" i="30"/>
  <c r="Q697" i="30"/>
  <c r="J698" i="30"/>
  <c r="Q698" i="30"/>
  <c r="J699" i="30"/>
  <c r="Q699" i="30"/>
  <c r="J700" i="30"/>
  <c r="Q700" i="30"/>
  <c r="J701" i="30"/>
  <c r="Q701" i="30"/>
  <c r="J702" i="30"/>
  <c r="Q702" i="30"/>
  <c r="J703" i="30"/>
  <c r="Q703" i="30"/>
  <c r="J704" i="30"/>
  <c r="Q704" i="30"/>
  <c r="J705" i="30"/>
  <c r="Q705" i="30"/>
  <c r="J706" i="30"/>
  <c r="Q706" i="30"/>
  <c r="J707" i="30"/>
  <c r="Q707" i="30"/>
  <c r="J708" i="30"/>
  <c r="Q708" i="30"/>
  <c r="J709" i="30"/>
  <c r="Q709" i="30"/>
  <c r="J710" i="30"/>
  <c r="Q710" i="30"/>
  <c r="J711" i="30"/>
  <c r="Q711" i="30"/>
  <c r="J712" i="30"/>
  <c r="Q712" i="30"/>
  <c r="J713" i="30"/>
  <c r="Q713" i="30"/>
  <c r="J714" i="30"/>
  <c r="Q714" i="30"/>
  <c r="J715" i="30"/>
  <c r="Q715" i="30"/>
  <c r="J716" i="30"/>
  <c r="Q716" i="30"/>
  <c r="J717" i="30"/>
  <c r="Q717" i="30"/>
  <c r="J718" i="30"/>
  <c r="Q718" i="30"/>
  <c r="J719" i="30"/>
  <c r="Q719" i="30"/>
  <c r="J720" i="30"/>
  <c r="Q720" i="30"/>
  <c r="J721" i="30"/>
  <c r="Q721" i="30"/>
  <c r="J722" i="30"/>
  <c r="Q722" i="30"/>
  <c r="J723" i="30"/>
  <c r="Q723" i="30"/>
  <c r="J724" i="30"/>
  <c r="Q724" i="30"/>
  <c r="J725" i="30"/>
  <c r="Q725" i="30"/>
  <c r="J726" i="30"/>
  <c r="Q726" i="30"/>
  <c r="J727" i="30"/>
  <c r="Q727" i="30"/>
  <c r="J728" i="30"/>
  <c r="Q728" i="30"/>
  <c r="J729" i="30"/>
  <c r="Q729" i="30"/>
  <c r="J730" i="30"/>
  <c r="Q730" i="30"/>
  <c r="J731" i="30"/>
  <c r="Q731" i="30"/>
  <c r="J732" i="30"/>
  <c r="Q732" i="30"/>
  <c r="J733" i="30"/>
  <c r="Q733" i="30"/>
  <c r="J734" i="30"/>
  <c r="Q734" i="30"/>
  <c r="J735" i="30"/>
  <c r="Q735" i="30"/>
  <c r="J736" i="30"/>
  <c r="Q736" i="30"/>
  <c r="J737" i="30"/>
  <c r="Q737" i="30"/>
  <c r="J738" i="30"/>
  <c r="Q738" i="30"/>
  <c r="J739" i="30"/>
  <c r="Q739" i="30"/>
  <c r="J740" i="30"/>
  <c r="Q740" i="30"/>
  <c r="J741" i="30"/>
  <c r="Q741" i="30"/>
  <c r="J742" i="30"/>
  <c r="Q742" i="30"/>
  <c r="J743" i="30"/>
  <c r="Q743" i="30"/>
  <c r="J744" i="30"/>
  <c r="Q744" i="30"/>
  <c r="J745" i="30"/>
  <c r="Q745" i="30"/>
  <c r="J746" i="30"/>
  <c r="Q746" i="30"/>
  <c r="J747" i="30"/>
  <c r="Q747" i="30"/>
  <c r="J748" i="30"/>
  <c r="Q748" i="30"/>
  <c r="J749" i="30"/>
  <c r="Q749" i="30"/>
  <c r="J750" i="30"/>
  <c r="Q750" i="30"/>
  <c r="J751" i="30"/>
  <c r="Q751" i="30"/>
  <c r="J752" i="30"/>
  <c r="Q752" i="30"/>
  <c r="J753" i="30"/>
  <c r="Q753" i="30"/>
  <c r="J754" i="30"/>
  <c r="Q754" i="30"/>
  <c r="J755" i="30"/>
  <c r="Q755" i="30"/>
  <c r="J756" i="30"/>
  <c r="Q756" i="30"/>
  <c r="J757" i="30"/>
  <c r="Q757" i="30"/>
  <c r="J758" i="30"/>
  <c r="Q758" i="30"/>
  <c r="J759" i="30"/>
  <c r="Q759" i="30"/>
  <c r="J760" i="30"/>
  <c r="Q760" i="30"/>
  <c r="J761" i="30"/>
  <c r="Q761" i="30"/>
  <c r="J762" i="30"/>
  <c r="Q762" i="30"/>
  <c r="J763" i="30"/>
  <c r="Q763" i="30"/>
  <c r="J764" i="30"/>
  <c r="Q764" i="30"/>
  <c r="J765" i="30"/>
  <c r="Q765" i="30"/>
  <c r="J766" i="30"/>
  <c r="Q766" i="30"/>
  <c r="J767" i="30"/>
  <c r="Q767" i="30"/>
  <c r="J768" i="30"/>
  <c r="Q768" i="30"/>
  <c r="J769" i="30"/>
  <c r="Q769" i="30"/>
  <c r="J770" i="30"/>
  <c r="Q770" i="30"/>
  <c r="J771" i="30"/>
  <c r="Q771" i="30"/>
  <c r="J772" i="30"/>
  <c r="Q772" i="30"/>
  <c r="J773" i="30"/>
  <c r="Q773" i="30"/>
  <c r="J774" i="30"/>
  <c r="Q774" i="30"/>
  <c r="J775" i="30"/>
  <c r="Q775" i="30"/>
  <c r="J776" i="30"/>
  <c r="Q776" i="30"/>
  <c r="J777" i="30"/>
  <c r="Q777" i="30"/>
  <c r="J778" i="30"/>
  <c r="Q778" i="30"/>
  <c r="J779" i="30"/>
  <c r="Q779" i="30"/>
  <c r="J780" i="30"/>
  <c r="Q780" i="30"/>
  <c r="J781" i="30"/>
  <c r="Q781" i="30"/>
  <c r="J782" i="30"/>
  <c r="Q782" i="30"/>
  <c r="J783" i="30"/>
  <c r="Q783" i="30"/>
  <c r="J784" i="30"/>
  <c r="Q784" i="30"/>
  <c r="J785" i="30"/>
  <c r="Q785" i="30"/>
  <c r="J786" i="30"/>
  <c r="Q786" i="30"/>
  <c r="J787" i="30"/>
  <c r="Q787" i="30"/>
  <c r="J788" i="30"/>
  <c r="Q788" i="30"/>
  <c r="J789" i="30"/>
  <c r="Q789" i="30"/>
  <c r="J790" i="30"/>
  <c r="Q790" i="30"/>
  <c r="J791" i="30"/>
  <c r="Q791" i="30"/>
  <c r="J792" i="30"/>
  <c r="Q792" i="30"/>
  <c r="J793" i="30"/>
  <c r="Q793" i="30"/>
  <c r="J794" i="30"/>
  <c r="Q794" i="30"/>
  <c r="J795" i="30"/>
  <c r="Q795" i="30"/>
  <c r="J796" i="30"/>
  <c r="Q796" i="30"/>
  <c r="J797" i="30"/>
  <c r="Q797" i="30"/>
  <c r="J798" i="30"/>
  <c r="Q798" i="30"/>
  <c r="J799" i="30"/>
  <c r="Q799" i="30"/>
  <c r="J800" i="30"/>
  <c r="Q800" i="30"/>
  <c r="J801" i="30"/>
  <c r="Q801" i="30"/>
  <c r="J802" i="30"/>
  <c r="Q802" i="30"/>
  <c r="J803" i="30"/>
  <c r="Q803" i="30"/>
  <c r="J804" i="30"/>
  <c r="Q804" i="30"/>
  <c r="J805" i="30"/>
  <c r="Q805" i="30"/>
  <c r="J806" i="30"/>
  <c r="Q806" i="30"/>
  <c r="J807" i="30"/>
  <c r="Q807" i="30"/>
  <c r="J808" i="30"/>
  <c r="Q808" i="30"/>
  <c r="J809" i="30"/>
  <c r="Q809" i="30"/>
  <c r="J810" i="30"/>
  <c r="Q810" i="30"/>
  <c r="J811" i="30"/>
  <c r="Q811" i="30"/>
  <c r="J812" i="30"/>
  <c r="Q812" i="30"/>
  <c r="J813" i="30"/>
  <c r="Q813" i="30"/>
  <c r="J814" i="30"/>
  <c r="Q814" i="30"/>
  <c r="J815" i="30"/>
  <c r="Q815" i="30"/>
  <c r="J816" i="30"/>
  <c r="Q816" i="30"/>
  <c r="J817" i="30"/>
  <c r="Q817" i="30"/>
  <c r="J818" i="30"/>
  <c r="Q818" i="30"/>
  <c r="J819" i="30"/>
  <c r="Q819" i="30"/>
  <c r="J820" i="30"/>
  <c r="Q820" i="30"/>
  <c r="J821" i="30"/>
  <c r="Q821" i="30"/>
  <c r="J822" i="30"/>
  <c r="Q822" i="30"/>
  <c r="J823" i="30"/>
  <c r="Q823" i="30"/>
  <c r="J824" i="30"/>
  <c r="Q824" i="30"/>
  <c r="J825" i="30"/>
  <c r="Q825" i="30"/>
  <c r="J826" i="30"/>
  <c r="Q826" i="30"/>
  <c r="J827" i="30"/>
  <c r="Q827" i="30"/>
  <c r="J828" i="30"/>
  <c r="Q828" i="30"/>
  <c r="J829" i="30"/>
  <c r="Q829" i="30"/>
  <c r="J830" i="30"/>
  <c r="Q830" i="30"/>
  <c r="J831" i="30"/>
  <c r="Q831" i="30"/>
  <c r="J832" i="30"/>
  <c r="Q832" i="30"/>
  <c r="J833" i="30"/>
  <c r="Q833" i="30"/>
  <c r="J834" i="30"/>
  <c r="Q834" i="30"/>
  <c r="J835" i="30"/>
  <c r="Q835" i="30"/>
  <c r="J836" i="30"/>
  <c r="Q836" i="30"/>
  <c r="J837" i="30"/>
  <c r="Q837" i="30"/>
  <c r="J838" i="30"/>
  <c r="Q838" i="30"/>
  <c r="J839" i="30"/>
  <c r="Q839" i="30"/>
  <c r="J840" i="30"/>
  <c r="Q840" i="30"/>
  <c r="J841" i="30"/>
  <c r="Q841" i="30"/>
  <c r="J842" i="30"/>
  <c r="Q842" i="30"/>
  <c r="J843" i="30"/>
  <c r="Q843" i="30"/>
  <c r="J844" i="30"/>
  <c r="Q844" i="30"/>
  <c r="J845" i="30"/>
  <c r="Q845" i="30"/>
  <c r="J846" i="30"/>
  <c r="Q846" i="30"/>
  <c r="J847" i="30"/>
  <c r="Q847" i="30"/>
  <c r="J848" i="30"/>
  <c r="Q848" i="30"/>
  <c r="J849" i="30"/>
  <c r="Q849" i="30"/>
  <c r="J850" i="30"/>
  <c r="Q850" i="30"/>
  <c r="J851" i="30"/>
  <c r="Q851" i="30"/>
  <c r="J852" i="30"/>
  <c r="Q852" i="30"/>
  <c r="J853" i="30"/>
  <c r="Q853" i="30"/>
  <c r="J854" i="30"/>
  <c r="Q854" i="30"/>
  <c r="J855" i="30"/>
  <c r="Q855" i="30"/>
  <c r="J856" i="30"/>
  <c r="Q856" i="30"/>
  <c r="J857" i="30"/>
  <c r="Q857" i="30"/>
  <c r="J858" i="30"/>
  <c r="Q858" i="30"/>
  <c r="J859" i="30"/>
  <c r="Q859" i="30"/>
  <c r="J860" i="30"/>
  <c r="Q860" i="30"/>
  <c r="J861" i="30"/>
  <c r="Q861" i="30"/>
  <c r="J862" i="30"/>
  <c r="Q862" i="30"/>
  <c r="J863" i="30"/>
  <c r="Q863" i="30"/>
  <c r="J864" i="30"/>
  <c r="Q864" i="30"/>
  <c r="J865" i="30"/>
  <c r="Q865" i="30"/>
  <c r="J866" i="30"/>
  <c r="Q866" i="30"/>
  <c r="J867" i="30"/>
  <c r="Q867" i="30"/>
  <c r="J868" i="30"/>
  <c r="Q868" i="30"/>
  <c r="J869" i="30"/>
  <c r="Q869" i="30"/>
  <c r="J870" i="30"/>
  <c r="Q870" i="30"/>
  <c r="J871" i="30"/>
  <c r="Q871" i="30"/>
  <c r="J872" i="30"/>
  <c r="Q872" i="30"/>
  <c r="J873" i="30"/>
  <c r="Q873" i="30"/>
  <c r="J874" i="30"/>
  <c r="Q874" i="30"/>
  <c r="J875" i="30"/>
  <c r="Q875" i="30"/>
  <c r="J876" i="30"/>
  <c r="Q876" i="30"/>
  <c r="J877" i="30"/>
  <c r="Q877" i="30"/>
  <c r="J878" i="30"/>
  <c r="Q878" i="30"/>
  <c r="J879" i="30"/>
  <c r="Q879" i="30"/>
  <c r="J880" i="30"/>
  <c r="Q880" i="30"/>
  <c r="J881" i="30"/>
  <c r="Q881" i="30"/>
  <c r="J882" i="30"/>
  <c r="Q882" i="30"/>
  <c r="J883" i="30"/>
  <c r="Q883" i="30"/>
  <c r="J884" i="30"/>
  <c r="Q884" i="30"/>
  <c r="J885" i="30"/>
  <c r="Q885" i="30"/>
  <c r="J886" i="30"/>
  <c r="Q886" i="30"/>
  <c r="J887" i="30"/>
  <c r="Q887" i="30"/>
  <c r="J888" i="30"/>
  <c r="Q888" i="30"/>
  <c r="J889" i="30"/>
  <c r="Q889" i="30"/>
  <c r="J890" i="30"/>
  <c r="Q890" i="30"/>
  <c r="J891" i="30"/>
  <c r="Q891" i="30"/>
  <c r="J892" i="30"/>
  <c r="Q892" i="30"/>
  <c r="J893" i="30"/>
  <c r="Q893" i="30"/>
  <c r="J894" i="30"/>
  <c r="Q894" i="30"/>
  <c r="J895" i="30"/>
  <c r="Q895" i="30"/>
  <c r="J896" i="30"/>
  <c r="Q896" i="30"/>
  <c r="J897" i="30"/>
  <c r="Q897" i="30"/>
  <c r="J898" i="30"/>
  <c r="Q898" i="30"/>
  <c r="J899" i="30"/>
  <c r="Q899" i="30"/>
  <c r="J900" i="30"/>
  <c r="Q900" i="30"/>
  <c r="J901" i="30"/>
  <c r="Q901" i="30"/>
  <c r="J902" i="30"/>
  <c r="Q902" i="30"/>
  <c r="J903" i="30"/>
  <c r="Q903" i="30"/>
  <c r="J904" i="30"/>
  <c r="Q904" i="30"/>
  <c r="J905" i="30"/>
  <c r="Q905" i="30"/>
  <c r="J906" i="30"/>
  <c r="Q906" i="30"/>
  <c r="J907" i="30"/>
  <c r="Q907" i="30"/>
  <c r="J908" i="30"/>
  <c r="Q908" i="30"/>
  <c r="J909" i="30"/>
  <c r="Q909" i="30"/>
  <c r="J910" i="30"/>
  <c r="Q910" i="30"/>
  <c r="J911" i="30"/>
  <c r="Q911" i="30"/>
  <c r="J912" i="30"/>
  <c r="Q912" i="30"/>
  <c r="J913" i="30"/>
  <c r="Q913" i="30"/>
  <c r="J914" i="30"/>
  <c r="Q914" i="30"/>
  <c r="J915" i="30"/>
  <c r="Q915" i="30"/>
  <c r="J916" i="30"/>
  <c r="Q916" i="30"/>
  <c r="J917" i="30"/>
  <c r="Q917" i="30"/>
  <c r="J918" i="30"/>
  <c r="Q918" i="30"/>
  <c r="J919" i="30"/>
  <c r="Q919" i="30"/>
  <c r="J920" i="30"/>
  <c r="Q920" i="30"/>
  <c r="J921" i="30"/>
  <c r="Q921" i="30"/>
  <c r="J922" i="30"/>
  <c r="Q922" i="30"/>
  <c r="J923" i="30"/>
  <c r="Q923" i="30"/>
  <c r="J924" i="30"/>
  <c r="Q924" i="30"/>
  <c r="J925" i="30"/>
  <c r="Q925" i="30"/>
  <c r="J926" i="30"/>
  <c r="Q926" i="30"/>
  <c r="J927" i="30"/>
  <c r="Q927" i="30"/>
  <c r="J928" i="30"/>
  <c r="Q928" i="30"/>
  <c r="J929" i="30"/>
  <c r="Q929" i="30"/>
  <c r="J930" i="30"/>
  <c r="Q930" i="30"/>
  <c r="J931" i="30"/>
  <c r="Q931" i="30"/>
  <c r="J932" i="30"/>
  <c r="Q932" i="30"/>
  <c r="J933" i="30"/>
  <c r="Q933" i="30"/>
  <c r="J934" i="30"/>
  <c r="Q934" i="30"/>
  <c r="J935" i="30"/>
  <c r="Q935" i="30"/>
  <c r="J936" i="30"/>
  <c r="Q936" i="30"/>
  <c r="J937" i="30"/>
  <c r="Q937" i="30"/>
  <c r="J938" i="30"/>
  <c r="Q938" i="30"/>
  <c r="J939" i="30"/>
  <c r="Q939" i="30"/>
  <c r="J940" i="30"/>
  <c r="Q940" i="30"/>
  <c r="J941" i="30"/>
  <c r="Q941" i="30"/>
  <c r="J942" i="30"/>
  <c r="Q942" i="30"/>
  <c r="J943" i="30"/>
  <c r="Q943" i="30"/>
  <c r="J944" i="30"/>
  <c r="Q944" i="30"/>
  <c r="J945" i="30"/>
  <c r="Q945" i="30"/>
  <c r="J946" i="30"/>
  <c r="Q946" i="30"/>
  <c r="J947" i="30"/>
  <c r="Q947" i="30"/>
  <c r="J948" i="30"/>
  <c r="Q948" i="30"/>
  <c r="J949" i="30"/>
  <c r="Q949" i="30"/>
  <c r="J950" i="30"/>
  <c r="Q950" i="30"/>
  <c r="J951" i="30"/>
  <c r="Q951" i="30"/>
  <c r="J952" i="30"/>
  <c r="Q952" i="30"/>
  <c r="J953" i="30"/>
  <c r="Q953" i="30"/>
  <c r="J954" i="30"/>
  <c r="Q954" i="30"/>
  <c r="J955" i="30"/>
  <c r="Q955" i="30"/>
  <c r="J956" i="30"/>
  <c r="Q956" i="30"/>
  <c r="J957" i="30"/>
  <c r="Q957" i="30"/>
  <c r="J958" i="30"/>
  <c r="Q958" i="30"/>
  <c r="J959" i="30"/>
  <c r="Q959" i="30"/>
  <c r="J960" i="30"/>
  <c r="Q960" i="30"/>
  <c r="J961" i="30"/>
  <c r="Q961" i="30"/>
  <c r="J962" i="30"/>
  <c r="Q962" i="30"/>
  <c r="J963" i="30"/>
  <c r="Q963" i="30"/>
  <c r="J964" i="30"/>
  <c r="Q964" i="30"/>
  <c r="J965" i="30"/>
  <c r="Q965" i="30"/>
  <c r="J966" i="30"/>
  <c r="Q966" i="30"/>
  <c r="J967" i="30"/>
  <c r="Q967" i="30"/>
  <c r="J968" i="30"/>
  <c r="Q968" i="30"/>
  <c r="J969" i="30"/>
  <c r="Q969" i="30"/>
  <c r="J970" i="30"/>
  <c r="Q970" i="30"/>
  <c r="J971" i="30"/>
  <c r="Q971" i="30"/>
  <c r="J972" i="30"/>
  <c r="Q972" i="30"/>
  <c r="J973" i="30"/>
  <c r="Q973" i="30"/>
  <c r="J974" i="30"/>
  <c r="Q974" i="30"/>
  <c r="J975" i="30"/>
  <c r="Q975" i="30"/>
  <c r="J976" i="30"/>
  <c r="Q976" i="30"/>
  <c r="J977" i="30"/>
  <c r="Q977" i="30"/>
  <c r="J978" i="30"/>
  <c r="Q978" i="30"/>
  <c r="J979" i="30"/>
  <c r="Q979" i="30"/>
  <c r="J980" i="30"/>
  <c r="Q980" i="30"/>
  <c r="J981" i="30"/>
  <c r="Q981" i="30"/>
  <c r="J982" i="30"/>
  <c r="Q982" i="30"/>
  <c r="J983" i="30"/>
  <c r="Q983" i="30"/>
  <c r="J984" i="30"/>
  <c r="Q984" i="30"/>
  <c r="J985" i="30"/>
  <c r="Q985" i="30"/>
  <c r="J986" i="30"/>
  <c r="Q986" i="30"/>
  <c r="J987" i="30"/>
  <c r="Q987" i="30"/>
  <c r="J988" i="30"/>
  <c r="Q988" i="30"/>
  <c r="J989" i="30"/>
  <c r="Q989" i="30"/>
  <c r="J990" i="30"/>
  <c r="Q990" i="30"/>
  <c r="J991" i="30"/>
  <c r="Q991" i="30"/>
  <c r="J992" i="30"/>
  <c r="Q992" i="30"/>
  <c r="J993" i="30"/>
  <c r="Q993" i="30"/>
  <c r="J994" i="30"/>
  <c r="Q994" i="30"/>
  <c r="J995" i="30"/>
  <c r="Q995" i="30"/>
  <c r="J996" i="30"/>
  <c r="Q996" i="30"/>
  <c r="J997" i="30"/>
  <c r="Q997" i="30"/>
  <c r="J998" i="30"/>
  <c r="Q998" i="30"/>
  <c r="J999" i="30"/>
  <c r="Q999" i="30"/>
  <c r="A17" i="27"/>
  <c r="A28" i="27"/>
  <c r="T66" i="41"/>
  <c r="AK4" i="41"/>
  <c r="T65" i="41"/>
  <c r="AV34" i="41" l="1"/>
  <c r="L61" i="42"/>
  <c r="L67" i="42"/>
  <c r="L68" i="42"/>
  <c r="K60" i="42"/>
  <c r="L64" i="42"/>
  <c r="L65" i="42"/>
  <c r="L66" i="42"/>
  <c r="L62" i="42"/>
  <c r="L69" i="42"/>
  <c r="L63" i="42"/>
  <c r="L60" i="42"/>
  <c r="F60" i="42"/>
  <c r="G60" i="42"/>
  <c r="E60" i="42"/>
  <c r="S40" i="42"/>
  <c r="D40" i="42" s="1"/>
  <c r="D42" i="42" s="1"/>
  <c r="G96" i="41"/>
  <c r="BB35" i="41"/>
  <c r="AM4" i="41"/>
  <c r="AT34" i="41"/>
  <c r="AT35" i="41"/>
  <c r="BC34" i="41"/>
  <c r="BC35" i="41"/>
  <c r="AI35" i="41"/>
  <c r="AJ35" i="41" s="1"/>
  <c r="AG18" i="41"/>
  <c r="AJ19" i="41" s="1"/>
  <c r="AG16" i="41"/>
  <c r="AJ16" i="41" s="1"/>
  <c r="T64" i="41"/>
  <c r="T61" i="41"/>
  <c r="T63" i="41"/>
  <c r="T62" i="41"/>
  <c r="AN16" i="41"/>
  <c r="T68" i="41"/>
  <c r="T76" i="41"/>
  <c r="AN17" i="41"/>
  <c r="T75" i="41"/>
  <c r="T67" i="41"/>
  <c r="T71" i="41" s="1"/>
  <c r="T74" i="41"/>
  <c r="T78" i="41" s="1"/>
  <c r="T77" i="41"/>
  <c r="AJ27" i="41"/>
  <c r="AK27" i="41" s="1"/>
  <c r="AL27" i="41" s="1"/>
  <c r="AN27" i="41"/>
  <c r="AX34" i="41"/>
  <c r="AX35" i="41"/>
  <c r="AW27" i="41"/>
  <c r="AW28" i="41"/>
  <c r="AU34" i="41"/>
  <c r="AU35" i="41"/>
  <c r="AR27" i="41"/>
  <c r="AR28" i="41"/>
  <c r="AL34" i="41"/>
  <c r="AZ27" i="41"/>
  <c r="AZ28" i="41"/>
  <c r="AK35" i="41"/>
  <c r="AL35" i="41" s="1"/>
  <c r="AY34" i="41"/>
  <c r="AY35" i="41"/>
  <c r="BD34" i="41"/>
  <c r="BD35" i="41"/>
  <c r="AS5" i="41"/>
  <c r="AQ5" i="41" s="1"/>
  <c r="AI5" i="41"/>
  <c r="AI4" i="41"/>
  <c r="AH4" i="41" s="1"/>
  <c r="AM27" i="41"/>
  <c r="AO34" i="41"/>
  <c r="AP34" i="41" s="1"/>
  <c r="AO35" i="41"/>
  <c r="AS27" i="41"/>
  <c r="AS28" i="41"/>
  <c r="AQ34" i="41"/>
  <c r="AQ35" i="41"/>
  <c r="AV27" i="41"/>
  <c r="AV28" i="41"/>
  <c r="AH34" i="41"/>
  <c r="AI34" i="41" s="1"/>
  <c r="AP35" i="41"/>
  <c r="BD27" i="41"/>
  <c r="BD28" i="41"/>
  <c r="AN34" i="41"/>
  <c r="AN35" i="41"/>
  <c r="AI27" i="41"/>
  <c r="AG27" i="41"/>
  <c r="AG28" i="41"/>
  <c r="AH28" i="41" s="1"/>
  <c r="AI28" i="41" s="1"/>
  <c r="AJ28" i="41" s="1"/>
  <c r="AK28" i="41"/>
  <c r="AO28" i="41"/>
  <c r="AO27" i="41"/>
  <c r="AP27" i="41" s="1"/>
  <c r="AM34" i="41"/>
  <c r="AM35" i="41"/>
  <c r="BA27" i="41"/>
  <c r="BA28" i="41"/>
  <c r="AH27" i="41"/>
  <c r="AL28" i="41"/>
  <c r="AM28" i="41" s="1"/>
  <c r="AN28" i="41" s="1"/>
  <c r="AJ34" i="41"/>
  <c r="AK34" i="41" s="1"/>
  <c r="AG34" i="41"/>
  <c r="AG35" i="41"/>
  <c r="AH35" i="41" s="1"/>
  <c r="AT5" i="41"/>
  <c r="AF47" i="41"/>
  <c r="AF44" i="41"/>
  <c r="D46" i="42" l="1"/>
  <c r="I42" i="42" s="1"/>
  <c r="D48" i="42" s="1"/>
  <c r="I46" i="42"/>
  <c r="F63" i="42"/>
  <c r="F62" i="42"/>
  <c r="F69" i="42"/>
  <c r="F64" i="42"/>
  <c r="F67" i="42"/>
  <c r="F65" i="42"/>
  <c r="F61" i="42"/>
  <c r="F66" i="42"/>
  <c r="F68" i="42"/>
  <c r="K64" i="42"/>
  <c r="K65" i="42"/>
  <c r="K66" i="42"/>
  <c r="K63" i="42"/>
  <c r="K62" i="42"/>
  <c r="K67" i="42"/>
  <c r="K61" i="42"/>
  <c r="K68" i="42"/>
  <c r="K69" i="42"/>
  <c r="E62" i="42"/>
  <c r="E69" i="42"/>
  <c r="E61" i="42"/>
  <c r="E67" i="42"/>
  <c r="E68" i="42"/>
  <c r="E65" i="42"/>
  <c r="E63" i="42"/>
  <c r="U60" i="42"/>
  <c r="E64" i="42"/>
  <c r="E66" i="42"/>
  <c r="W60" i="42"/>
  <c r="V60" i="42"/>
  <c r="I40" i="42"/>
  <c r="G64" i="42"/>
  <c r="G65" i="42"/>
  <c r="G66" i="42"/>
  <c r="G63" i="42"/>
  <c r="G62" i="42"/>
  <c r="G67" i="42"/>
  <c r="G69" i="42"/>
  <c r="G61" i="42"/>
  <c r="G68" i="42"/>
  <c r="T73" i="41"/>
  <c r="AV5" i="41"/>
  <c r="AD6" i="41"/>
  <c r="AD5" i="41"/>
  <c r="AF25" i="41"/>
  <c r="AJ25" i="41"/>
  <c r="AN25" i="41"/>
  <c r="AR25" i="41"/>
  <c r="AV25" i="41"/>
  <c r="AZ25" i="41"/>
  <c r="BD25" i="41"/>
  <c r="AK25" i="41"/>
  <c r="AP25" i="41"/>
  <c r="AU25" i="41"/>
  <c r="BA25" i="41"/>
  <c r="AG25" i="41"/>
  <c r="AQ25" i="41"/>
  <c r="AW25" i="41"/>
  <c r="AL25" i="41"/>
  <c r="BB25" i="41"/>
  <c r="AM25" i="41"/>
  <c r="AX25" i="41"/>
  <c r="AI25" i="41"/>
  <c r="AO25" i="41"/>
  <c r="AY25" i="41"/>
  <c r="AH25" i="41"/>
  <c r="AS25" i="41"/>
  <c r="BC25" i="41"/>
  <c r="AT25" i="41"/>
  <c r="AJ5" i="41"/>
  <c r="AH5" i="41" s="1"/>
  <c r="T79" i="41"/>
  <c r="T70" i="41"/>
  <c r="AI21" i="41"/>
  <c r="AM21" i="41"/>
  <c r="AQ21" i="41"/>
  <c r="AQ64" i="41" s="1"/>
  <c r="AU21" i="41"/>
  <c r="AU64" i="41" s="1"/>
  <c r="AY21" i="41"/>
  <c r="AY64" i="41" s="1"/>
  <c r="BC21" i="41"/>
  <c r="BC64" i="41" s="1"/>
  <c r="AF21" i="41"/>
  <c r="AJ21" i="41"/>
  <c r="AN21" i="41"/>
  <c r="AR21" i="41"/>
  <c r="AR64" i="41" s="1"/>
  <c r="AV21" i="41"/>
  <c r="AV64" i="41" s="1"/>
  <c r="AZ21" i="41"/>
  <c r="AZ64" i="41" s="1"/>
  <c r="BD21" i="41"/>
  <c r="BD64" i="41" s="1"/>
  <c r="AH21" i="41"/>
  <c r="AP21" i="41"/>
  <c r="AP64" i="41" s="1"/>
  <c r="AX21" i="41"/>
  <c r="AX64" i="41" s="1"/>
  <c r="AK21" i="41"/>
  <c r="BA21" i="41"/>
  <c r="BA64" i="41" s="1"/>
  <c r="AS21" i="41"/>
  <c r="AS64" i="41" s="1"/>
  <c r="AL21" i="41"/>
  <c r="BB21" i="41"/>
  <c r="BB64" i="41" s="1"/>
  <c r="AG21" i="41"/>
  <c r="AO21" i="41"/>
  <c r="AT21" i="41"/>
  <c r="AT64" i="41" s="1"/>
  <c r="AW21" i="41"/>
  <c r="AW64" i="41" s="1"/>
  <c r="AM49" i="41"/>
  <c r="AN50" i="41"/>
  <c r="AJ50" i="41"/>
  <c r="AH50" i="41"/>
  <c r="AN49" i="41"/>
  <c r="AN54" i="41" s="1"/>
  <c r="AJ49" i="41"/>
  <c r="AF50" i="41"/>
  <c r="AF55" i="41" s="1"/>
  <c r="AK49" i="41"/>
  <c r="AK54" i="41" s="1"/>
  <c r="AI50" i="41"/>
  <c r="AM50" i="41"/>
  <c r="AM55" i="41" s="1"/>
  <c r="AL50" i="41"/>
  <c r="AH49" i="41"/>
  <c r="AO49" i="41"/>
  <c r="AK50" i="41"/>
  <c r="AG49" i="41"/>
  <c r="AI49" i="41"/>
  <c r="AF49" i="41"/>
  <c r="AF54" i="41" s="1"/>
  <c r="AL49" i="41"/>
  <c r="AO50" i="41"/>
  <c r="AG50" i="41"/>
  <c r="AG55" i="41" s="1"/>
  <c r="AG24" i="41"/>
  <c r="AK24" i="41"/>
  <c r="AO24" i="41"/>
  <c r="AS24" i="41"/>
  <c r="AW24" i="41"/>
  <c r="BA24" i="41"/>
  <c r="AI24" i="41"/>
  <c r="AN24" i="41"/>
  <c r="AT24" i="41"/>
  <c r="AY24" i="41"/>
  <c r="BD24" i="41"/>
  <c r="AJ24" i="41"/>
  <c r="AU24" i="41"/>
  <c r="AZ24" i="41"/>
  <c r="AP24" i="41"/>
  <c r="AF24" i="41"/>
  <c r="AQ24" i="41"/>
  <c r="BB24" i="41"/>
  <c r="AM24" i="41"/>
  <c r="AH24" i="41"/>
  <c r="AR24" i="41"/>
  <c r="BC24" i="41"/>
  <c r="AL24" i="41"/>
  <c r="AV24" i="41"/>
  <c r="AX24" i="41"/>
  <c r="AF52" i="41"/>
  <c r="AF57" i="41" s="1"/>
  <c r="AI51" i="41"/>
  <c r="AM52" i="41"/>
  <c r="AO51" i="41"/>
  <c r="AF51" i="41"/>
  <c r="AF56" i="41" s="1"/>
  <c r="AL52" i="41"/>
  <c r="AG52" i="41"/>
  <c r="AG57" i="41" s="1"/>
  <c r="AJ52" i="41"/>
  <c r="AM51" i="41"/>
  <c r="AM56" i="41" s="1"/>
  <c r="AI52" i="41"/>
  <c r="AN51" i="41"/>
  <c r="AN56" i="41" s="1"/>
  <c r="AH51" i="41"/>
  <c r="AO52" i="41"/>
  <c r="AG51" i="41"/>
  <c r="AJ51" i="41"/>
  <c r="AJ56" i="41" s="1"/>
  <c r="AK52" i="41"/>
  <c r="AK57" i="41" s="1"/>
  <c r="AN52" i="41"/>
  <c r="AL51" i="41"/>
  <c r="AH52" i="41"/>
  <c r="AH57" i="41" s="1"/>
  <c r="AK51" i="41"/>
  <c r="AF37" i="41"/>
  <c r="AF30" i="41"/>
  <c r="T69" i="41"/>
  <c r="T72" i="41" s="1"/>
  <c r="AE77" i="41" s="1"/>
  <c r="AF92" i="41" s="1"/>
  <c r="AF20" i="41"/>
  <c r="AJ20" i="41"/>
  <c r="AN20" i="41"/>
  <c r="AR20" i="41"/>
  <c r="AV20" i="41"/>
  <c r="AZ20" i="41"/>
  <c r="BD20" i="41"/>
  <c r="AG20" i="41"/>
  <c r="AK20" i="41"/>
  <c r="AO20" i="41"/>
  <c r="AS20" i="41"/>
  <c r="AW20" i="41"/>
  <c r="BA20" i="41"/>
  <c r="AI20" i="41"/>
  <c r="AQ20" i="41"/>
  <c r="AY20" i="41"/>
  <c r="AL20" i="41"/>
  <c r="BB20" i="41"/>
  <c r="AT20" i="41"/>
  <c r="AU20" i="41"/>
  <c r="AH20" i="41"/>
  <c r="AX20" i="41"/>
  <c r="AM20" i="41"/>
  <c r="BC20" i="41"/>
  <c r="AP20" i="41"/>
  <c r="AF36" i="41"/>
  <c r="AF29" i="41"/>
  <c r="AR6" i="41"/>
  <c r="AJ18" i="41"/>
  <c r="AJ17" i="41"/>
  <c r="AK5" i="41"/>
  <c r="AF38" i="41"/>
  <c r="AF31" i="41"/>
  <c r="AF46" i="41"/>
  <c r="AF45" i="41"/>
  <c r="AF32" i="41"/>
  <c r="AF39" i="41"/>
  <c r="AH56" i="41" l="1"/>
  <c r="J46" i="42"/>
  <c r="N46" i="42"/>
  <c r="W67" i="42"/>
  <c r="U67" i="42"/>
  <c r="V67" i="42"/>
  <c r="A49" i="42"/>
  <c r="A50" i="42"/>
  <c r="A51" i="42"/>
  <c r="A56" i="42" s="1"/>
  <c r="U63" i="42"/>
  <c r="W63" i="42"/>
  <c r="V63" i="42"/>
  <c r="V61" i="42"/>
  <c r="W61" i="42"/>
  <c r="U61" i="42"/>
  <c r="V66" i="42"/>
  <c r="U66" i="42"/>
  <c r="W66" i="42"/>
  <c r="V65" i="42"/>
  <c r="U65" i="42"/>
  <c r="W65" i="42"/>
  <c r="U69" i="42"/>
  <c r="V69" i="42"/>
  <c r="W69" i="42"/>
  <c r="W64" i="42"/>
  <c r="U64" i="42"/>
  <c r="V64" i="42"/>
  <c r="W68" i="42"/>
  <c r="V68" i="42"/>
  <c r="U68" i="42"/>
  <c r="W62" i="42"/>
  <c r="V62" i="42"/>
  <c r="U62" i="42"/>
  <c r="I38" i="42"/>
  <c r="I44" i="42"/>
  <c r="AK56" i="41"/>
  <c r="AI55" i="41"/>
  <c r="U9" i="41"/>
  <c r="AE76" i="41" s="1"/>
  <c r="AM5" i="41"/>
  <c r="T6" i="41"/>
  <c r="T8" i="41"/>
  <c r="T9" i="41"/>
  <c r="AE73" i="41" s="1"/>
  <c r="U6" i="41"/>
  <c r="U8" i="41"/>
  <c r="AG23" i="41"/>
  <c r="AH23" i="41"/>
  <c r="AL23" i="41"/>
  <c r="AP23" i="41"/>
  <c r="AT23" i="41"/>
  <c r="AX23" i="41"/>
  <c r="BB23" i="41"/>
  <c r="AF23" i="41"/>
  <c r="AM23" i="41"/>
  <c r="AR23" i="41"/>
  <c r="AW23" i="41"/>
  <c r="BC23" i="41"/>
  <c r="AI23" i="41"/>
  <c r="AN23" i="41"/>
  <c r="AS23" i="41"/>
  <c r="BD23" i="41"/>
  <c r="AY23" i="41"/>
  <c r="AJ23" i="41"/>
  <c r="AU23" i="41"/>
  <c r="AQ23" i="41"/>
  <c r="AK23" i="41"/>
  <c r="AV23" i="41"/>
  <c r="AO23" i="41"/>
  <c r="AZ23" i="41"/>
  <c r="BA23" i="41"/>
  <c r="AH55" i="41"/>
  <c r="AI6" i="41"/>
  <c r="T5" i="41"/>
  <c r="AE71" i="41" s="1"/>
  <c r="T7" i="41"/>
  <c r="AE72" i="41" s="1"/>
  <c r="AL56" i="41"/>
  <c r="AG56" i="41"/>
  <c r="AI57" i="41"/>
  <c r="AJ57" i="41" s="1"/>
  <c r="AL57" i="41"/>
  <c r="AM57" i="41" s="1"/>
  <c r="AN57" i="41" s="1"/>
  <c r="AO57" i="41" s="1"/>
  <c r="AI56" i="41"/>
  <c r="AP55" i="41"/>
  <c r="AG54" i="41"/>
  <c r="AL55" i="41"/>
  <c r="AJ55" i="41"/>
  <c r="AK55" i="41" s="1"/>
  <c r="AO56" i="41"/>
  <c r="AP56" i="41"/>
  <c r="AO54" i="41"/>
  <c r="AP54" i="41"/>
  <c r="AS6" i="41"/>
  <c r="AQ6" i="41" s="1"/>
  <c r="AH22" i="41"/>
  <c r="AL22" i="41"/>
  <c r="AP22" i="41"/>
  <c r="AT22" i="41"/>
  <c r="AX22" i="41"/>
  <c r="BB22" i="41"/>
  <c r="AI22" i="41"/>
  <c r="AM22" i="41"/>
  <c r="AQ22" i="41"/>
  <c r="AU22" i="41"/>
  <c r="AY22" i="41"/>
  <c r="BC22" i="41"/>
  <c r="AG22" i="41"/>
  <c r="AO22" i="41"/>
  <c r="AW22" i="41"/>
  <c r="AJ22" i="41"/>
  <c r="AR22" i="41"/>
  <c r="AZ22" i="41"/>
  <c r="AS22" i="41"/>
  <c r="AN22" i="41"/>
  <c r="AF22" i="41"/>
  <c r="AV22" i="41"/>
  <c r="AK22" i="41"/>
  <c r="BA22" i="41"/>
  <c r="BD22" i="41"/>
  <c r="U5" i="41"/>
  <c r="AE74" i="41" s="1"/>
  <c r="U7" i="41"/>
  <c r="AE75" i="41" s="1"/>
  <c r="AP57" i="41"/>
  <c r="AL54" i="41"/>
  <c r="AM54" i="41" s="1"/>
  <c r="AJ54" i="41"/>
  <c r="AN55" i="41"/>
  <c r="AO55" i="41" s="1"/>
  <c r="T80" i="41"/>
  <c r="AT6" i="41"/>
  <c r="AF61" i="41" l="1"/>
  <c r="N67" i="42"/>
  <c r="N69" i="42" s="1"/>
  <c r="A55" i="42"/>
  <c r="A54" i="42"/>
  <c r="AF60" i="41"/>
  <c r="AV6" i="41"/>
  <c r="AF62" i="41"/>
  <c r="T11" i="41"/>
  <c r="AG60" i="41"/>
  <c r="AE81" i="41"/>
  <c r="AH54" i="41"/>
  <c r="AI54" i="41" s="1"/>
  <c r="U10" i="41"/>
  <c r="AG61" i="41"/>
  <c r="AE82" i="41"/>
  <c r="AF86" i="41"/>
  <c r="AF87" i="41" s="1"/>
  <c r="AF88" i="41" s="1"/>
  <c r="AF89" i="41" s="1"/>
  <c r="AF90" i="41" s="1"/>
  <c r="AF91" i="41" s="1"/>
  <c r="G97" i="41" s="1"/>
  <c r="AJ6" i="41"/>
  <c r="AH6" i="41"/>
  <c r="AR7" i="41"/>
  <c r="AE79" i="41"/>
  <c r="AE78" i="41"/>
  <c r="AF93" i="41" s="1"/>
  <c r="AK6" i="41"/>
  <c r="AM6" i="41" l="1"/>
  <c r="AF94" i="41"/>
  <c r="G98" i="41" s="1"/>
  <c r="AI7" i="41"/>
  <c r="U11" i="41"/>
  <c r="AG62" i="41"/>
  <c r="AE83" i="41"/>
  <c r="AS7" i="41"/>
  <c r="AQ7" i="41" s="1"/>
  <c r="AF59" i="41"/>
  <c r="AT7" i="41"/>
  <c r="AV7" i="41" l="1"/>
  <c r="AJ7" i="41"/>
  <c r="AH7" i="41" s="1"/>
  <c r="T10" i="41"/>
  <c r="AG59" i="41"/>
  <c r="AE80" i="41"/>
  <c r="AE84" i="41" s="1"/>
  <c r="U1" i="41" s="1"/>
  <c r="AR8" i="41"/>
  <c r="AK7" i="41"/>
  <c r="AM7" i="41" l="1"/>
  <c r="AS8" i="41"/>
  <c r="AI8" i="41"/>
  <c r="AT8" i="41"/>
  <c r="AV8" i="41" l="1"/>
  <c r="AJ8" i="41"/>
  <c r="AH8" i="41" s="1"/>
  <c r="AR9" i="41"/>
  <c r="AQ8" i="41"/>
  <c r="AK8" i="41"/>
  <c r="AM8" i="41" l="1"/>
  <c r="AS9" i="41"/>
  <c r="AI9" i="41"/>
  <c r="AT9" i="41"/>
  <c r="AV9" i="41" l="1"/>
  <c r="AJ9" i="41"/>
  <c r="AH9" i="41" s="1"/>
  <c r="AR10" i="41"/>
  <c r="AQ9" i="41"/>
  <c r="AK9" i="41"/>
  <c r="AM9" i="41" l="1"/>
  <c r="AS10" i="41"/>
  <c r="AI10" i="41"/>
  <c r="AT10" i="41"/>
  <c r="AV10" i="41" l="1"/>
  <c r="AJ10" i="41"/>
  <c r="AH10" i="41" s="1"/>
  <c r="AR11" i="41"/>
  <c r="AQ10" i="41"/>
  <c r="AK10" i="41"/>
  <c r="AM10" i="41" l="1"/>
  <c r="AS11" i="41"/>
  <c r="AQ11" i="41" s="1"/>
  <c r="AI11" i="41"/>
  <c r="AT11" i="41"/>
  <c r="AV11" i="41" l="1"/>
  <c r="AJ11" i="41"/>
  <c r="AR12" i="41"/>
  <c r="AK11" i="41"/>
  <c r="AM11" i="41" l="1"/>
  <c r="AS12" i="41"/>
  <c r="AI12" i="41"/>
  <c r="AH11" i="41"/>
  <c r="AT12" i="41"/>
  <c r="AV12" i="41" l="1"/>
  <c r="AJ12" i="41"/>
  <c r="AH12" i="41" s="1"/>
  <c r="AR13" i="41"/>
  <c r="AQ12" i="41"/>
  <c r="AK12" i="41"/>
  <c r="AM12" i="41" l="1"/>
  <c r="AS13" i="41"/>
  <c r="AQ13" i="41" s="1"/>
  <c r="AI13" i="41"/>
  <c r="AT13" i="41"/>
  <c r="AV13" i="41" l="1"/>
  <c r="AV15" i="41" s="1"/>
  <c r="AJ13" i="41"/>
  <c r="AH13" i="41" s="1"/>
  <c r="AR14" i="41"/>
  <c r="AK13" i="41"/>
  <c r="AM13" i="41" l="1"/>
  <c r="AM15" i="41" s="1"/>
  <c r="AS14" i="41"/>
  <c r="AI14" i="41"/>
  <c r="AT14" i="41"/>
  <c r="AV14" i="41" l="1"/>
  <c r="AJ14" i="41"/>
  <c r="AH14" i="41" s="1"/>
  <c r="AQ14" i="41"/>
  <c r="AK14" i="41"/>
  <c r="AM14" i="41" l="1"/>
</calcChain>
</file>

<file path=xl/comments1.xml><?xml version="1.0" encoding="utf-8"?>
<comments xmlns="http://schemas.openxmlformats.org/spreadsheetml/2006/main">
  <authors>
    <author>A satisfied Microsoft Office user</author>
  </authors>
  <commentList>
    <comment ref="A5" authorId="0" shapeId="0">
      <text>
        <r>
          <rPr>
            <sz val="12"/>
            <color indexed="81"/>
            <rFont val="Tahoma"/>
            <family val="2"/>
            <charset val="204"/>
          </rPr>
          <t>Use description from title block on design record</t>
        </r>
      </text>
    </comment>
    <comment ref="D9" authorId="0" shapeId="0">
      <text>
        <r>
          <rPr>
            <sz val="12"/>
            <color indexed="81"/>
            <rFont val="Tahoma"/>
            <family val="2"/>
            <charset val="204"/>
          </rPr>
          <t>ECL letter ONLY</t>
        </r>
      </text>
    </comment>
    <comment ref="G9" authorId="0" shapeId="0">
      <text>
        <r>
          <rPr>
            <sz val="12"/>
            <color indexed="81"/>
            <rFont val="Tahoma"/>
            <family val="2"/>
            <charset val="204"/>
          </rPr>
          <t>ECL date as shown on design record (first column of revision block, upper right hand corner of drawing).</t>
        </r>
      </text>
    </comment>
    <comment ref="A11" authorId="0" shapeId="0">
      <text>
        <r>
          <rPr>
            <sz val="12"/>
            <color indexed="81"/>
            <rFont val="Tahoma"/>
            <family val="2"/>
            <charset val="204"/>
          </rPr>
          <t>Check screen TR0317 for more information and register any additional Engineering Changes on tab 05 AEC of this file</t>
        </r>
      </text>
    </comment>
    <comment ref="H13" authorId="0" shapeId="0">
      <text>
        <r>
          <rPr>
            <sz val="12"/>
            <color indexed="81"/>
            <rFont val="Tahoma"/>
            <family val="2"/>
            <charset val="204"/>
          </rPr>
          <t xml:space="preserve">Expressed in Kilograms to at least four decimal places (0.0000). 
</t>
        </r>
      </text>
    </comment>
    <comment ref="A22" authorId="0" shapeId="0">
      <text>
        <r>
          <rPr>
            <sz val="12"/>
            <color indexed="81"/>
            <rFont val="Tahoma"/>
            <family val="2"/>
            <charset val="204"/>
          </rPr>
          <t>Make sure to include MAIL STATION number (to receive your approved copy from the Customer).</t>
        </r>
      </text>
    </comment>
    <comment ref="A61" authorId="0" shapeId="0">
      <text>
        <r>
          <rPr>
            <sz val="12"/>
            <color indexed="81"/>
            <rFont val="Tahoma"/>
            <family val="2"/>
            <charset val="204"/>
          </rPr>
          <t>Type the name of the person signing the Warrant.</t>
        </r>
      </text>
    </comment>
    <comment ref="H61" authorId="0" shapeId="0">
      <text>
        <r>
          <rPr>
            <sz val="12"/>
            <color indexed="81"/>
            <rFont val="Tahoma"/>
            <family val="2"/>
            <charset val="204"/>
          </rPr>
          <t>Type the date when the PPAP package was completed or last updated and signed.</t>
        </r>
      </text>
    </comment>
  </commentList>
</comments>
</file>

<file path=xl/comments2.xml><?xml version="1.0" encoding="utf-8"?>
<comments xmlns="http://schemas.openxmlformats.org/spreadsheetml/2006/main">
  <authors>
    <author>A satisfied Microsoft Office user</author>
  </authors>
  <commentList>
    <comment ref="L3" authorId="0" shapeId="0">
      <text>
        <r>
          <rPr>
            <sz val="12"/>
            <color indexed="81"/>
            <rFont val="Tahoma"/>
            <family val="2"/>
            <charset val="204"/>
          </rPr>
          <t>Enter a descriptive family product name (never N/A)</t>
        </r>
      </text>
    </comment>
    <comment ref="D14" authorId="0" shapeId="0">
      <text>
        <r>
          <rPr>
            <sz val="12"/>
            <color indexed="81"/>
            <rFont val="Tahoma"/>
            <family val="2"/>
            <charset val="204"/>
          </rPr>
          <t>An assessment of the seriousness of the effect (as listed in the previous column) of the potential failure mode to the next components, subsystem, system, or customer if it occurs. Severity applies to the effect only. (10=Hazardous/1=No effect)</t>
        </r>
      </text>
    </comment>
    <comment ref="E14" authorId="0" shapeId="0">
      <text>
        <r>
          <rPr>
            <sz val="12"/>
            <color indexed="81"/>
            <rFont val="Tahoma"/>
            <family val="2"/>
            <charset val="204"/>
          </rPr>
          <t>This column may be used to classify any special product characteristics that may require additional process control.</t>
        </r>
      </text>
    </comment>
    <comment ref="G14" authorId="0" shapeId="0">
      <text>
        <r>
          <rPr>
            <sz val="12"/>
            <color indexed="81"/>
            <rFont val="Tahoma"/>
            <family val="2"/>
            <charset val="204"/>
          </rPr>
          <t>This is the likelihood that a specific cause/mechanism (as listed in the previous column) will occur. Like severity, occurrence uses a ranking number. (10=Failure is almost inevitable / 1=Failure is unlikely)</t>
        </r>
      </text>
    </comment>
    <comment ref="I14" authorId="0" shapeId="0">
      <text>
        <r>
          <rPr>
            <sz val="12"/>
            <color indexed="81"/>
            <rFont val="Tahoma"/>
            <family val="2"/>
            <charset val="204"/>
          </rPr>
          <t>Assesment of the ability of the proposed type 2 or type 3 current design controls to detect a potential design weakness (10=Absolute Uncertainty / 1=Almost Certain)</t>
        </r>
      </text>
    </comment>
    <comment ref="J14" authorId="0" shapeId="0">
      <text>
        <r>
          <rPr>
            <sz val="12"/>
            <color indexed="81"/>
            <rFont val="Tahoma"/>
            <family val="2"/>
            <charset val="204"/>
          </rPr>
          <t>A measure of design / process risk. RPN is the product of severity, Occurrence, and Detection rankings.</t>
        </r>
      </text>
    </comment>
    <comment ref="N14" authorId="0" shapeId="0">
      <text>
        <r>
          <rPr>
            <sz val="12"/>
            <color indexed="81"/>
            <rFont val="Tahoma"/>
            <family val="2"/>
            <charset val="204"/>
          </rPr>
          <t>An assessment of the seriousness of the effect (as listed in the previous column) of the potential failure mode to the next components, subsystem, system, or customer if it occurs. Severity applies to the effect only. (10=Hazardous/1=No effect)</t>
        </r>
      </text>
    </comment>
    <comment ref="O14" authorId="0" shapeId="0">
      <text>
        <r>
          <rPr>
            <sz val="12"/>
            <color indexed="81"/>
            <rFont val="Tahoma"/>
            <family val="2"/>
            <charset val="204"/>
          </rPr>
          <t>This is the likelihood that a specific cause/mechanism (as listed in the previous column) will occur. Like severity, occurrence uses a ranking number. (10=Failure is almost inevitable / 1=Failure is unlikely)</t>
        </r>
      </text>
    </comment>
    <comment ref="P14" authorId="0" shapeId="0">
      <text>
        <r>
          <rPr>
            <sz val="12"/>
            <color indexed="81"/>
            <rFont val="Tahoma"/>
            <family val="2"/>
            <charset val="204"/>
          </rPr>
          <t>Assesment of the ability of the proposed type 2 or type 3 current design controls to detect a potential design weakness (10=Absolute Uncertainty / 1=Almost Certain)</t>
        </r>
      </text>
    </comment>
  </commentList>
</comments>
</file>

<file path=xl/comments3.xml><?xml version="1.0" encoding="utf-8"?>
<comments xmlns="http://schemas.openxmlformats.org/spreadsheetml/2006/main">
  <authors>
    <author>A satisfied Microsoft Office user</author>
  </authors>
  <commentList>
    <comment ref="A5" authorId="0" shapeId="0">
      <text>
        <r>
          <rPr>
            <sz val="12"/>
            <color indexed="81"/>
            <rFont val="Tahoma"/>
            <family val="2"/>
            <charset val="204"/>
          </rPr>
          <t>Enter a descriptive family product name (never N/A)</t>
        </r>
      </text>
    </comment>
  </commentList>
</comments>
</file>

<file path=xl/comments4.xml><?xml version="1.0" encoding="utf-8"?>
<comments xmlns="http://schemas.openxmlformats.org/spreadsheetml/2006/main">
  <authors>
    <author>ABakulin</author>
    <author>A satisfied Microsoft Office user</author>
  </authors>
  <commentList>
    <comment ref="N3" authorId="0" shapeId="0">
      <text>
        <r>
          <rPr>
            <sz val="8"/>
            <color indexed="81"/>
            <rFont val="Tahoma"/>
            <family val="2"/>
            <charset val="204"/>
          </rPr>
          <t xml:space="preserve">Обозначьте количество замеров в одной выборке 
</t>
        </r>
      </text>
    </comment>
    <comment ref="T5" authorId="1" shapeId="0">
      <text>
        <r>
          <rPr>
            <sz val="8"/>
            <color indexed="81"/>
            <rFont val="Tahoma"/>
            <family val="2"/>
            <charset val="204"/>
          </rPr>
          <t>A run of &lt;n&gt; sequential data points going up has been observed on the average values. This number must be less than 7.</t>
        </r>
      </text>
    </comment>
    <comment ref="T6" authorId="1" shapeId="0">
      <text>
        <r>
          <rPr>
            <sz val="8"/>
            <color indexed="81"/>
            <rFont val="Tahoma"/>
            <family val="2"/>
            <charset val="204"/>
          </rPr>
          <t>&lt;n&gt; times the longer trend going up has been detected</t>
        </r>
      </text>
    </comment>
    <comment ref="T7" authorId="1" shapeId="0">
      <text>
        <r>
          <rPr>
            <sz val="8"/>
            <color indexed="81"/>
            <rFont val="Tahoma"/>
            <family val="2"/>
            <charset val="204"/>
          </rPr>
          <t>A run of &lt;n&gt; sequential data points going down has been observed on the average values. This number must be less than 7.</t>
        </r>
      </text>
    </comment>
    <comment ref="T8" authorId="1" shapeId="0">
      <text>
        <r>
          <rPr>
            <sz val="8"/>
            <color indexed="81"/>
            <rFont val="Tahoma"/>
            <family val="2"/>
            <charset val="204"/>
          </rPr>
          <t>&lt;n&gt; times the longer trend going down has been detected</t>
        </r>
      </text>
    </comment>
    <comment ref="L9" authorId="1" shapeId="0">
      <text>
        <r>
          <rPr>
            <sz val="8"/>
            <color indexed="81"/>
            <rFont val="Tahoma"/>
            <family val="2"/>
            <charset val="204"/>
          </rPr>
          <t xml:space="preserve">Обозначьте единицу измерения и нажмите &lt;TAB&gt; </t>
        </r>
      </text>
    </comment>
    <comment ref="T9" authorId="1" shapeId="0">
      <text>
        <r>
          <rPr>
            <sz val="8"/>
            <color indexed="81"/>
            <rFont val="Tahoma"/>
            <family val="2"/>
            <charset val="204"/>
          </rPr>
          <t>How many subgroup average are out of control limits</t>
        </r>
      </text>
    </comment>
    <comment ref="U9" authorId="1" shapeId="0">
      <text>
        <r>
          <rPr>
            <sz val="8"/>
            <color indexed="81"/>
            <rFont val="Tahoma"/>
            <family val="2"/>
            <charset val="204"/>
          </rPr>
          <t>How many subgroup range are out of control limits</t>
        </r>
      </text>
    </comment>
    <comment ref="D10" authorId="1" shapeId="0">
      <text>
        <r>
          <rPr>
            <sz val="8"/>
            <color indexed="81"/>
            <rFont val="Tahoma"/>
            <family val="2"/>
            <charset val="204"/>
          </rPr>
          <t>Обозначьте значение номинала для измерений и нажмите &lt;TAB&gt;</t>
        </r>
      </text>
    </comment>
    <comment ref="I10" authorId="1" shapeId="0">
      <text>
        <r>
          <rPr>
            <sz val="8"/>
            <color indexed="81"/>
            <rFont val="Tahoma"/>
            <family val="2"/>
            <charset val="204"/>
          </rPr>
          <t xml:space="preserve">Обозначьте значение к номиналу в плюс до верхнего допуска и нажмите &lt;TAB&gt; </t>
        </r>
      </text>
    </comment>
    <comment ref="M10" authorId="1" shapeId="0">
      <text>
        <r>
          <rPr>
            <sz val="8"/>
            <color indexed="81"/>
            <rFont val="Tahoma"/>
            <family val="2"/>
            <charset val="204"/>
          </rPr>
          <t xml:space="preserve">Обозначьте значение к номиналу в минус до нижнего допуска и нажмите &lt;TAB&gt; </t>
        </r>
      </text>
    </comment>
    <comment ref="K59" authorId="1" shapeId="0">
      <text>
        <r>
          <rPr>
            <sz val="8"/>
            <color indexed="81"/>
            <rFont val="Tahoma"/>
            <family val="2"/>
            <charset val="204"/>
          </rPr>
          <t>Type the number of cavities in the mold (if not applicable leave N/A) and press &lt;TAB&gt; key</t>
        </r>
      </text>
    </comment>
    <comment ref="L60" authorId="1" shapeId="0">
      <text>
        <r>
          <rPr>
            <sz val="8"/>
            <color indexed="81"/>
            <rFont val="Tahoma"/>
            <family val="2"/>
            <charset val="204"/>
          </rPr>
          <t>Specify the units used for measurement and press &lt;TAB&gt; key</t>
        </r>
      </text>
    </comment>
    <comment ref="D61" authorId="1" shapeId="0">
      <text>
        <r>
          <rPr>
            <sz val="8"/>
            <color indexed="81"/>
            <rFont val="Tahoma"/>
            <family val="2"/>
            <charset val="204"/>
          </rPr>
          <t>Specify the nominal value for the specification and press &lt;TAB&gt; key</t>
        </r>
      </text>
    </comment>
    <comment ref="I61" authorId="1" shapeId="0">
      <text>
        <r>
          <rPr>
            <sz val="8"/>
            <color indexed="81"/>
            <rFont val="Tahoma"/>
            <family val="2"/>
            <charset val="204"/>
          </rPr>
          <t>Specify the PLUS value for the specification and press &lt;TAB&gt; key</t>
        </r>
      </text>
    </comment>
    <comment ref="M61" authorId="1" shapeId="0">
      <text>
        <r>
          <rPr>
            <sz val="8"/>
            <color indexed="81"/>
            <rFont val="Tahoma"/>
            <family val="2"/>
            <charset val="204"/>
          </rPr>
          <t>Specify the MINUS value for the specification and press &lt;TAB&gt; key</t>
        </r>
      </text>
    </comment>
  </commentList>
</comments>
</file>

<file path=xl/comments5.xml><?xml version="1.0" encoding="utf-8"?>
<comments xmlns="http://schemas.openxmlformats.org/spreadsheetml/2006/main">
  <authors>
    <author>Ing. Petr Kořenek</author>
  </authors>
  <commentList>
    <comment ref="I5" authorId="0" shapeId="0">
      <text>
        <r>
          <rPr>
            <b/>
            <sz val="8"/>
            <color indexed="81"/>
            <rFont val="Tahoma"/>
            <family val="2"/>
            <charset val="204"/>
          </rPr>
          <t>Ing. Petr Kořenek:</t>
        </r>
        <r>
          <rPr>
            <sz val="8"/>
            <color indexed="81"/>
            <rFont val="Tahoma"/>
            <family val="2"/>
            <charset val="204"/>
          </rPr>
          <t xml:space="preserve">
pokud ji neznám tak zadám </t>
        </r>
        <r>
          <rPr>
            <b/>
            <sz val="8"/>
            <color indexed="81"/>
            <rFont val="Tahoma"/>
            <family val="2"/>
            <charset val="238"/>
          </rPr>
          <t>polovinu tolerance</t>
        </r>
        <r>
          <rPr>
            <sz val="8"/>
            <color indexed="81"/>
            <rFont val="Tahoma"/>
            <family val="2"/>
            <charset val="204"/>
          </rPr>
          <t xml:space="preserve"> - předpokládám přibližně cpk=1,72 (polovina tolerance=5,15s)</t>
        </r>
      </text>
    </comment>
    <comment ref="C33" authorId="0" shapeId="0">
      <text>
        <r>
          <rPr>
            <b/>
            <sz val="8"/>
            <color indexed="81"/>
            <rFont val="Tahoma"/>
            <family val="2"/>
            <charset val="204"/>
          </rPr>
          <t>Ing. Petr Kořenek:</t>
        </r>
        <r>
          <rPr>
            <sz val="8"/>
            <color indexed="81"/>
            <rFont val="Tahoma"/>
            <family val="2"/>
            <charset val="204"/>
          </rPr>
          <t xml:space="preserve">
zadej počet měření 2 nebo 3 (pro 2 zkoušející se musí provést 3 měření)</t>
        </r>
      </text>
    </comment>
    <comment ref="I33" authorId="0" shapeId="0">
      <text>
        <r>
          <rPr>
            <b/>
            <sz val="8"/>
            <color indexed="81"/>
            <rFont val="Tahoma"/>
            <family val="2"/>
            <charset val="204"/>
          </rPr>
          <t>Ing. Petr Kořenek:</t>
        </r>
        <r>
          <rPr>
            <sz val="8"/>
            <color indexed="81"/>
            <rFont val="Tahoma"/>
            <family val="2"/>
            <charset val="204"/>
          </rPr>
          <t xml:space="preserve">
zadej počet zkoušejících 2 nebo 3 (pro 2 měření se musí provést analýza se 3 zkoušejícími)</t>
        </r>
      </text>
    </comment>
    <comment ref="L33" authorId="0" shapeId="0">
      <text>
        <r>
          <rPr>
            <b/>
            <sz val="8"/>
            <color indexed="81"/>
            <rFont val="Tahoma"/>
            <family val="2"/>
            <charset val="204"/>
          </rPr>
          <t>Ing. Petr Kořenek:</t>
        </r>
        <r>
          <rPr>
            <sz val="8"/>
            <color indexed="81"/>
            <rFont val="Tahoma"/>
            <family val="2"/>
            <charset val="204"/>
          </rPr>
          <t xml:space="preserve">
zadej počet dílů 5
 až 10 (nepočítá pro 4 a méně dílů)</t>
        </r>
      </text>
    </comment>
    <comment ref="O33" authorId="0" shapeId="0">
      <text>
        <r>
          <rPr>
            <b/>
            <sz val="8"/>
            <color indexed="81"/>
            <rFont val="Tahoma"/>
            <family val="2"/>
            <charset val="204"/>
          </rPr>
          <t>Ing. Petr Kořenek:</t>
        </r>
        <r>
          <rPr>
            <sz val="8"/>
            <color indexed="81"/>
            <rFont val="Tahoma"/>
            <family val="2"/>
            <charset val="204"/>
          </rPr>
          <t xml:space="preserve">
zadej počet dílů 5
 až 10 (nepočítá pro 4 a méně dílů)</t>
        </r>
      </text>
    </comment>
    <comment ref="J45" authorId="0" shapeId="0">
      <text>
        <r>
          <rPr>
            <b/>
            <sz val="8"/>
            <color indexed="81"/>
            <rFont val="Tahoma"/>
            <family val="2"/>
            <charset val="204"/>
          </rPr>
          <t>Ing. Petr Kořenek:</t>
        </r>
        <r>
          <rPr>
            <sz val="8"/>
            <color indexed="81"/>
            <rFont val="Tahoma"/>
            <family val="2"/>
            <charset val="204"/>
          </rPr>
          <t xml:space="preserve">
je to počet různých tříd, do nichž systém měření může rozdělit rozpětí očekávané variability
(počet nepřekrývajících se 97% konfidenčních intervalů, které pokrývají rozpětí očekávané variability produktu)</t>
        </r>
      </text>
    </comment>
    <comment ref="B54" authorId="0" shapeId="0">
      <text>
        <r>
          <rPr>
            <b/>
            <sz val="8"/>
            <color indexed="81"/>
            <rFont val="Tahoma"/>
            <family val="2"/>
            <charset val="204"/>
          </rPr>
          <t>Ing. Petr Kořenek:</t>
        </r>
        <r>
          <rPr>
            <sz val="8"/>
            <color indexed="81"/>
            <rFont val="Tahoma"/>
            <family val="2"/>
            <charset val="204"/>
          </rPr>
          <t xml:space="preserve">
když R&amp;R je max. 10% a ndc je alespoň 5</t>
        </r>
      </text>
    </comment>
    <comment ref="B55" authorId="0" shapeId="0">
      <text>
        <r>
          <rPr>
            <b/>
            <sz val="8"/>
            <color indexed="81"/>
            <rFont val="Tahoma"/>
            <family val="2"/>
            <charset val="204"/>
          </rPr>
          <t>Ing. Petr Kořenek:</t>
        </r>
        <r>
          <rPr>
            <sz val="8"/>
            <color indexed="81"/>
            <rFont val="Tahoma"/>
            <family val="2"/>
            <charset val="204"/>
          </rPr>
          <t xml:space="preserve">
když R&amp;R je vrozmezí 10-30% a nebo když je ndc méně než 5 (případně obojí)</t>
        </r>
      </text>
    </comment>
    <comment ref="B56" authorId="0" shapeId="0">
      <text>
        <r>
          <rPr>
            <b/>
            <sz val="8"/>
            <color indexed="81"/>
            <rFont val="Tahoma"/>
            <family val="2"/>
            <charset val="204"/>
          </rPr>
          <t>Ing. Petr Kořenek:</t>
        </r>
        <r>
          <rPr>
            <sz val="8"/>
            <color indexed="81"/>
            <rFont val="Tahoma"/>
            <family val="2"/>
            <charset val="204"/>
          </rPr>
          <t xml:space="preserve">
když R&amp;R je nad 30%</t>
        </r>
      </text>
    </comment>
    <comment ref="A125" authorId="0" shapeId="0">
      <text>
        <r>
          <rPr>
            <b/>
            <sz val="8"/>
            <color indexed="81"/>
            <rFont val="Tahoma"/>
            <family val="2"/>
            <charset val="204"/>
          </rPr>
          <t>Ing. Petr Kořenek:</t>
        </r>
        <r>
          <rPr>
            <sz val="8"/>
            <color indexed="81"/>
            <rFont val="Tahoma"/>
            <family val="2"/>
            <charset val="204"/>
          </rPr>
          <t xml:space="preserve">
V grafu je nutno upravit měřítko pro vhodné znázornění</t>
        </r>
      </text>
    </comment>
  </commentList>
</comments>
</file>

<file path=xl/comments6.xml><?xml version="1.0" encoding="utf-8"?>
<comments xmlns="http://schemas.openxmlformats.org/spreadsheetml/2006/main">
  <authors>
    <author>A satisfied Microsoft Office user</author>
  </authors>
  <commentList>
    <comment ref="A4" authorId="0" shapeId="0">
      <text>
        <r>
          <rPr>
            <sz val="12"/>
            <color indexed="81"/>
            <rFont val="Tahoma"/>
            <family val="2"/>
            <charset val="204"/>
          </rPr>
          <t>Enter a descriptive family product name (never N/A)</t>
        </r>
      </text>
    </comment>
  </commentList>
</comments>
</file>

<file path=xl/sharedStrings.xml><?xml version="1.0" encoding="utf-8"?>
<sst xmlns="http://schemas.openxmlformats.org/spreadsheetml/2006/main" count="1148" uniqueCount="797">
  <si>
    <t xml:space="preserve"> </t>
  </si>
  <si>
    <t> </t>
  </si>
  <si>
    <t>'01 PSW'!H6</t>
  </si>
  <si>
    <t>'01 PSW'!A14</t>
  </si>
  <si>
    <t>'01 PSW'!F25</t>
  </si>
  <si>
    <t>'01 PSW'!A6</t>
  </si>
  <si>
    <t>'01 PSW'!A8</t>
  </si>
  <si>
    <t>'01 PSW'!F23</t>
  </si>
  <si>
    <t>'01 PSW'!D10</t>
  </si>
  <si>
    <t>'01 PSW'!G10</t>
  </si>
  <si>
    <t>'01 PSW'!A21</t>
  </si>
  <si>
    <t>'01 PSW'!A23</t>
  </si>
  <si>
    <t>'01 PSW'!A25</t>
  </si>
  <si>
    <t>'01 PSW'!D21</t>
  </si>
  <si>
    <t>'01 PSW'!A56</t>
  </si>
  <si>
    <t>'01 PSW'!h56</t>
  </si>
  <si>
    <t>'01 PSW'!A54</t>
  </si>
  <si>
    <t>DL*</t>
  </si>
  <si>
    <t>Da*</t>
  </si>
  <si>
    <t>Db*</t>
  </si>
  <si>
    <t>DE*</t>
  </si>
  <si>
    <t>CMC</t>
  </si>
  <si>
    <t>.</t>
  </si>
  <si>
    <t>ECL</t>
  </si>
  <si>
    <t>No.</t>
  </si>
  <si>
    <t>OK</t>
  </si>
  <si>
    <t>NOT OK</t>
  </si>
  <si>
    <t>Дата</t>
  </si>
  <si>
    <t>Дополнительные инженерные изменения</t>
  </si>
  <si>
    <t>Вес</t>
  </si>
  <si>
    <t>кг.</t>
  </si>
  <si>
    <t>Информация о производстве поставщика</t>
  </si>
  <si>
    <t>Код поставщика</t>
  </si>
  <si>
    <t>Применение</t>
  </si>
  <si>
    <t>(Если "Нет" требуются пояснения)</t>
  </si>
  <si>
    <t>Должность</t>
  </si>
  <si>
    <t>Номер телефона</t>
  </si>
  <si>
    <t>Подпись ответственного лица</t>
  </si>
  <si>
    <t>Подпись потребителя</t>
  </si>
  <si>
    <t>НОМЕР ЧЕРТЕЖА</t>
  </si>
  <si>
    <t>ПРИМЕНЕНИЕ (АВТОМОБИЛИ)</t>
  </si>
  <si>
    <t>УРОВЕНЬ Т/И</t>
  </si>
  <si>
    <t>ДАТА</t>
  </si>
  <si>
    <t>КОД ПОСТАВЩИКА</t>
  </si>
  <si>
    <t>НАИМЕНОВАНИЕ ПОСТАВЩИКА</t>
  </si>
  <si>
    <t>ОЦЕНКА ВНЕШНЕГО ВИДА</t>
  </si>
  <si>
    <t>ОДОБРЕНО</t>
  </si>
  <si>
    <t>ПРЕДСТАВИТЕЛЬ ПОТРЕБИТЕЛЯ</t>
  </si>
  <si>
    <t>ПОДПИСЬ И ДАТА</t>
  </si>
  <si>
    <t>ОЦЕНКА ЦВЕТА</t>
  </si>
  <si>
    <t>ЦВЕТА</t>
  </si>
  <si>
    <t>НОМЕР</t>
  </si>
  <si>
    <t>ТИП</t>
  </si>
  <si>
    <t>МАТЕРИАЛА</t>
  </si>
  <si>
    <t>ИСТОЧНИК</t>
  </si>
  <si>
    <t>КР</t>
  </si>
  <si>
    <t>ЖЕЛ</t>
  </si>
  <si>
    <t>ЗЕЛ</t>
  </si>
  <si>
    <t>СИН</t>
  </si>
  <si>
    <t>СВ</t>
  </si>
  <si>
    <t>ТЕМ</t>
  </si>
  <si>
    <t>СЕР</t>
  </si>
  <si>
    <t>ПРОЗР</t>
  </si>
  <si>
    <t>ВЫС</t>
  </si>
  <si>
    <t>НИЗК</t>
  </si>
  <si>
    <t>МЕТ</t>
  </si>
  <si>
    <t>БЛЕСК</t>
  </si>
  <si>
    <t>НИЗ</t>
  </si>
  <si>
    <t>РАЗМЕЩЕНИЕ</t>
  </si>
  <si>
    <t>КОММЕНТАРИИ</t>
  </si>
  <si>
    <t>ПОДПИСЬ ПОСТАВЩИКА</t>
  </si>
  <si>
    <t>ЗАПОЛНЯЕТ ПОТРЕБИТЕЛЬ</t>
  </si>
  <si>
    <t>Стр.</t>
  </si>
  <si>
    <t>ПОСТАВЩИК</t>
  </si>
  <si>
    <t>НАЗВАНИЕ ЛАБОРАТОРИИ</t>
  </si>
  <si>
    <t>NOK</t>
  </si>
  <si>
    <t>Подпись</t>
  </si>
  <si>
    <t>Номер FMEA</t>
  </si>
  <si>
    <t>Страница</t>
  </si>
  <si>
    <t>Модельный(е) год(ы)/автомобиль(и)</t>
  </si>
  <si>
    <t>Ответственный за проект</t>
  </si>
  <si>
    <t>Номер части</t>
  </si>
  <si>
    <t>Основная команда</t>
  </si>
  <si>
    <t>Наименование семейства</t>
  </si>
  <si>
    <t>Члены межфункциональной команды</t>
  </si>
  <si>
    <t>Дата (Ориг.)</t>
  </si>
  <si>
    <t>Дата (Пер.)</t>
  </si>
  <si>
    <t>Подготовлено (кем)</t>
  </si>
  <si>
    <t>Номер шага</t>
  </si>
  <si>
    <t>Обработка</t>
  </si>
  <si>
    <t>Перемещение</t>
  </si>
  <si>
    <t>Хранение</t>
  </si>
  <si>
    <t>Контроль</t>
  </si>
  <si>
    <t xml:space="preserve">                             Описание операции</t>
  </si>
  <si>
    <t>Обозн.</t>
  </si>
  <si>
    <t>Характеристики продукции</t>
  </si>
  <si>
    <t>Номер характ.</t>
  </si>
  <si>
    <t>Характеристики процесса</t>
  </si>
  <si>
    <t>Поставщик</t>
  </si>
  <si>
    <t xml:space="preserve">                                                   Стр.            из  </t>
  </si>
  <si>
    <t xml:space="preserve">       страниц.</t>
  </si>
  <si>
    <t>ПУНКТ</t>
  </si>
  <si>
    <t>ГЕОМЕТР. ПАРАМЕТР/ТЕХНИЧЕСКИЕ ТРЕБОВАНИЯ</t>
  </si>
  <si>
    <t>РЕЗУЛЬТАТЫ ИЗМЕРЕНИЙ У ПОСТАВЩИКА</t>
  </si>
  <si>
    <t>НОМЕР ЧАСТИ</t>
  </si>
  <si>
    <t>N СПЕЦИФИКАЦИИ НА МАТЕРИАЛ / ДАТА / ТЕХНИЧЕСКИЕ ТРЕБОВАНИЯ</t>
  </si>
  <si>
    <t>РЕЗУЛЬТАТЫ ИСПЫТАНИЙ У ПОСТАВЩИКА</t>
  </si>
  <si>
    <t>Наименование лаборатории</t>
  </si>
  <si>
    <t>Ссыл. Ном.</t>
  </si>
  <si>
    <t>Требования</t>
  </si>
  <si>
    <t>Част. Исп.</t>
  </si>
  <si>
    <t>Исп. Кол.</t>
  </si>
  <si>
    <t>Результаты испытаний и условия испытания у поставщика</t>
  </si>
  <si>
    <t>ПЛАН УПРАВЛЕНИЯ</t>
  </si>
  <si>
    <t>Вид плана управления</t>
  </si>
  <si>
    <t>Ключевое контактное лицо</t>
  </si>
  <si>
    <t>Дата (ориг.)</t>
  </si>
  <si>
    <t>Дата (пересм.)</t>
  </si>
  <si>
    <t>Номер плана управления</t>
  </si>
  <si>
    <t>Ключевой контактный телефон</t>
  </si>
  <si>
    <t>Дата (Если треб.)</t>
  </si>
  <si>
    <t>Одобрение поставщика/предприятия/Дата</t>
  </si>
  <si>
    <t>Одобрение службы кач. Потребит.(если треб.)</t>
  </si>
  <si>
    <t>Одобрение инженера потребителя(если треб.)</t>
  </si>
  <si>
    <t>Название части / Описание</t>
  </si>
  <si>
    <t>Другое одобрение поставщика (если треб.)</t>
  </si>
  <si>
    <t>Поставщик / предприятие</t>
  </si>
  <si>
    <t>Дата другого одобрения (если треб.)</t>
  </si>
  <si>
    <t>Название процесса/Описание  операции</t>
  </si>
  <si>
    <t>Станок, приспособление, инструмент для производства</t>
  </si>
  <si>
    <t>Характеристика</t>
  </si>
  <si>
    <t>Продукт</t>
  </si>
  <si>
    <t>Процесс</t>
  </si>
  <si>
    <t>Технич. Требов. Для продукта/процесса/Допуск</t>
  </si>
  <si>
    <t>Метод оценки/измерения</t>
  </si>
  <si>
    <t>Обьем выборки</t>
  </si>
  <si>
    <t>Частота выборки</t>
  </si>
  <si>
    <t>Метод управления</t>
  </si>
  <si>
    <t>План реагирования</t>
  </si>
  <si>
    <t>ОТЧЕТ ОБ ОДОБРЕНИИ ВНЕШНЕГО ВИДА</t>
  </si>
  <si>
    <t>НАИМЕНОВАНИЕ ЧАСТИ</t>
  </si>
  <si>
    <t>ПРИЧИНА ДЛЯ</t>
  </si>
  <si>
    <t>ПРЕДСТАВЛЕНИЯ</t>
  </si>
  <si>
    <t>КОД ПОКУПАТЕЛЯ</t>
  </si>
  <si>
    <t>РАСПОЛОЖЕНИЕ ПРОИЗВОДСТВА</t>
  </si>
  <si>
    <t>ИСТОЧНИК ДЛЯ ПОСТАВЩИКА И ИНФОРМАЦИЯ О ТЕКСТУРЕ</t>
  </si>
  <si>
    <t>ПРЕ ТЕКСТУРНАЯ</t>
  </si>
  <si>
    <t xml:space="preserve">ОЦЕНКА </t>
  </si>
  <si>
    <t>СКОРРЕКТИРОВАНО</t>
  </si>
  <si>
    <t>И ПРОДОЛЖЕНО</t>
  </si>
  <si>
    <t>ПОВТ. ПРЕДСТАВЛЕНО</t>
  </si>
  <si>
    <t>ДЛЯ ТЕКСТУРЫ</t>
  </si>
  <si>
    <t>СУФФИКС</t>
  </si>
  <si>
    <t>ДАННЫЕ ТРЕХ ЦВЕТОВ</t>
  </si>
  <si>
    <t>ЭТАЛОНА</t>
  </si>
  <si>
    <t>УТВ.</t>
  </si>
  <si>
    <t>ЦВЕТ</t>
  </si>
  <si>
    <t>ПОСТАВКИ</t>
  </si>
  <si>
    <t>ЧАСТИ</t>
  </si>
  <si>
    <t>ВЕЛИЧИНВ</t>
  </si>
  <si>
    <t>НАСЫЩ.</t>
  </si>
  <si>
    <t>ТЕЛЕФОН</t>
  </si>
  <si>
    <t>ДАТА ПОВТОР. ПРЕДСТАВЛ.</t>
  </si>
  <si>
    <t>ПРИМЕНЕНИЕ:</t>
  </si>
  <si>
    <t>УРОВЕНЬ ПРЕДСТАВЛЕНИЯ</t>
  </si>
  <si>
    <t>ВЕС Кг:</t>
  </si>
  <si>
    <t>Кол. образцов:</t>
  </si>
  <si>
    <t xml:space="preserve">  Доп. Обр.:</t>
  </si>
  <si>
    <t>Время одобр.</t>
  </si>
  <si>
    <t>Геом.пар.:</t>
  </si>
  <si>
    <t>Вн.Вид:</t>
  </si>
  <si>
    <t>Лаб.:</t>
  </si>
  <si>
    <t>ПРОЦЕСС:</t>
  </si>
  <si>
    <t>ИНЖ.:</t>
  </si>
  <si>
    <r>
      <t>ПЛАН ДЕЙСТВИЙ</t>
    </r>
    <r>
      <rPr>
        <sz val="10"/>
        <rFont val="Arial"/>
        <family val="2"/>
      </rPr>
      <t xml:space="preserve"> </t>
    </r>
    <r>
      <rPr>
        <sz val="8"/>
        <rFont val="Arial"/>
        <family val="2"/>
        <charset val="204"/>
      </rPr>
      <t>(привести с датой выполнения)</t>
    </r>
  </si>
  <si>
    <t>(Пожалуйста обьясните ниже):</t>
  </si>
  <si>
    <t>ТЕЛЕФОН:</t>
  </si>
  <si>
    <t>ФАКС:</t>
  </si>
  <si>
    <t>ПОДРАЗДЕЛЕНИЕ ОБЕСПЕЧЕНИЯ</t>
  </si>
  <si>
    <t>ПОДПИСЬ</t>
  </si>
  <si>
    <t>ТЕЛ.</t>
  </si>
  <si>
    <t>ИНЖЕНЕР ПО КАЧЕСТВУ ПОСТАВЩИКА</t>
  </si>
  <si>
    <t>ИНЖЕНЕР ЛАБОРАТОРИИ/ ОТВ. ЗА МАТЕРИАЛ:</t>
  </si>
  <si>
    <t>ИНЖЕНЕР ОТВ. ЗА ВНЕШНИЙ ВИД/ОКРАСКУ</t>
  </si>
  <si>
    <t>ДРУГИЕ (Закупщик, Сборочное предприятие и т.д.):</t>
  </si>
  <si>
    <t>П</t>
  </si>
  <si>
    <t>О</t>
  </si>
  <si>
    <t>С</t>
  </si>
  <si>
    <t>Т</t>
  </si>
  <si>
    <t>А</t>
  </si>
  <si>
    <t>В</t>
  </si>
  <si>
    <t>Щ</t>
  </si>
  <si>
    <t>И</t>
  </si>
  <si>
    <t>К</t>
  </si>
  <si>
    <t>Б</t>
  </si>
  <si>
    <t>Е</t>
  </si>
  <si>
    <t>Р</t>
  </si>
  <si>
    <t>Л</t>
  </si>
  <si>
    <t>Ь</t>
  </si>
  <si>
    <t>Компонент</t>
  </si>
  <si>
    <t>Система</t>
  </si>
  <si>
    <t>Подсистема</t>
  </si>
  <si>
    <t>из</t>
  </si>
  <si>
    <t xml:space="preserve">                     Подготовлено</t>
  </si>
  <si>
    <t xml:space="preserve">                Дата FMEA (Ориг.)</t>
  </si>
  <si>
    <t xml:space="preserve">                (Пересм.)</t>
  </si>
  <si>
    <t xml:space="preserve">           Ключевая дата</t>
  </si>
  <si>
    <t>Наименование подразделения контроля</t>
  </si>
  <si>
    <t>ВИД ИСПЫТАНИЯ</t>
  </si>
  <si>
    <t>Уровень технического изменения чертежа</t>
  </si>
  <si>
    <t>Датированы</t>
  </si>
  <si>
    <t>Указан на чертеже номер</t>
  </si>
  <si>
    <t>Номер заказа на поставку</t>
  </si>
  <si>
    <t>Номер средства измер.</t>
  </si>
  <si>
    <t>Уровень технического изменения</t>
  </si>
  <si>
    <t>Датировано</t>
  </si>
  <si>
    <t>Информация о представлении</t>
  </si>
  <si>
    <t>Название / подразделение потребителя</t>
  </si>
  <si>
    <t>Покупатель/ Код покупателя</t>
  </si>
  <si>
    <t>Город                                    Страна</t>
  </si>
  <si>
    <t>Название и код поставщика</t>
  </si>
  <si>
    <t>Идентифицированы ли соответствующим кодом маркировки  ISO</t>
  </si>
  <si>
    <t>ПРИЧИНА ДЛЯ ПРЕДСТАВЛЕНИЯ</t>
  </si>
  <si>
    <t>ТРЕБУЕМЫЙ УРОВЕНЬ ПРЕДСТАВЛЕНИЯ (только отметьте)</t>
  </si>
  <si>
    <t>РЕЗУЛЬТАТЫ ПРЕДСТАВЛЕНИЯ</t>
  </si>
  <si>
    <t>Результаты для:</t>
  </si>
  <si>
    <t>Эти результаты показывают выполнение всех требований</t>
  </si>
  <si>
    <t>ЗАЯВЛЕНИЕ</t>
  </si>
  <si>
    <t>ОБЪЯСНЕНИЯ / КОММЕНТАРИИ</t>
  </si>
  <si>
    <t>Факс</t>
  </si>
  <si>
    <t>ТОЛЬКО ДЛЯ ПОТРЕБИТЕЛЯ (ЕСЛИ ПРИМЕНИМО)</t>
  </si>
  <si>
    <t>Решение по прредставлению</t>
  </si>
  <si>
    <t>Название потребителя</t>
  </si>
  <si>
    <t>ПОДПИСЬ ОТВЕТСТВЕННОГО ЛИЦА ПОТБИТЕЛЯ</t>
  </si>
  <si>
    <t>Методы</t>
  </si>
  <si>
    <t>ДАТА:</t>
  </si>
  <si>
    <t>Вид потенциального отклонения</t>
  </si>
  <si>
    <t>Класс</t>
  </si>
  <si>
    <t>Имеющиеся меры  управления проектом  Обнаружение</t>
  </si>
  <si>
    <t>ЧПР</t>
  </si>
  <si>
    <t>Рекомендуемые дейстия</t>
  </si>
  <si>
    <t>Ответственный и целевая дата выполнения</t>
  </si>
  <si>
    <t>Результаты действий</t>
  </si>
  <si>
    <t>ЭТИКЕТКА КОНТРОЛЬНОГО ОБРАЗЦА</t>
  </si>
  <si>
    <t>АНАЛИЗ ПОТЕНЦИАЛЬНЫХ ОТКЛОНЕНИЙ И ИХ ПОСЛЕДСТВИЙ (FMEA)</t>
  </si>
  <si>
    <t>Разработано</t>
  </si>
  <si>
    <t>Изделие /                                           Функция</t>
  </si>
  <si>
    <t>Потенциальное(ые) последствие(ия)/                   отклонения</t>
  </si>
  <si>
    <t>Потенциальная(ые) причина(ы)/             механизм(ы)                  отклонения</t>
  </si>
  <si>
    <t>ПЧР</t>
  </si>
  <si>
    <r>
      <t xml:space="preserve">Знач </t>
    </r>
    <r>
      <rPr>
        <b/>
        <sz val="8"/>
        <rFont val="Arial"/>
        <family val="2"/>
        <charset val="204"/>
      </rPr>
      <t>S</t>
    </r>
  </si>
  <si>
    <r>
      <t xml:space="preserve">Возн </t>
    </r>
    <r>
      <rPr>
        <b/>
        <sz val="8"/>
        <rFont val="Arial"/>
        <family val="2"/>
        <charset val="204"/>
      </rPr>
      <t>O</t>
    </r>
  </si>
  <si>
    <r>
      <t xml:space="preserve">Обн </t>
    </r>
    <r>
      <rPr>
        <b/>
        <sz val="8"/>
        <rFont val="Arial"/>
        <family val="2"/>
        <charset val="204"/>
      </rPr>
      <t>D</t>
    </r>
  </si>
  <si>
    <t>Наименование компонента</t>
  </si>
  <si>
    <t>Номер компонента</t>
  </si>
  <si>
    <t>ЗАЯВКА НА ВРЕМЕННОЕ ОДОБРЕНИЕ</t>
  </si>
  <si>
    <t>Название компонента</t>
  </si>
  <si>
    <t>НОМЕР КОМПОНЕНТА</t>
  </si>
  <si>
    <t>НАЗВАНИЕ КОМПОНЕНТА</t>
  </si>
  <si>
    <t>Заявка на одобрение производства компонента (PSW)</t>
  </si>
  <si>
    <t>Согласованный перечень документации РРАР</t>
  </si>
  <si>
    <t>Контакты поставщика</t>
  </si>
  <si>
    <t>FMEA конструкции</t>
  </si>
  <si>
    <t>2D-чертежи и спецификации</t>
  </si>
  <si>
    <t>Согласованные чертежи на заготовку</t>
  </si>
  <si>
    <t>3D-модель</t>
  </si>
  <si>
    <t>Состав изделия с указанием субпоставщиков</t>
  </si>
  <si>
    <t>FMEA процесса</t>
  </si>
  <si>
    <t>План управления</t>
  </si>
  <si>
    <t>Первоначальный анализ стабильности оборудования (SPC)</t>
  </si>
  <si>
    <t>Полноразмерный контроль или результаты измерений технических характеристик</t>
  </si>
  <si>
    <t>Результаты испытаний, исследований</t>
  </si>
  <si>
    <t>Аккредитация измерительной лаборатории</t>
  </si>
  <si>
    <t>Паспортизированный контрольный образец (2шт.)</t>
  </si>
  <si>
    <t>Отчет о согласовании внешнего вида и эталон (2 шт.)</t>
  </si>
  <si>
    <t>Акт приемки оснастки с контрольными замерами</t>
  </si>
  <si>
    <t>Перечень средств контроля</t>
  </si>
  <si>
    <t>Анализ измерительных систем (MSA)</t>
  </si>
  <si>
    <t>Графики ремонта / обслуживания оборудования / оснастки</t>
  </si>
  <si>
    <t>Рабочие стандарты операторов</t>
  </si>
  <si>
    <t>Техническое одобрение потребителем (акт приемки процесса)</t>
  </si>
  <si>
    <t>№ п/п</t>
  </si>
  <si>
    <t>Наименование документа</t>
  </si>
  <si>
    <t>Наименование ответственного подразделения</t>
  </si>
  <si>
    <t>Потребитель</t>
  </si>
  <si>
    <t>подпись</t>
  </si>
  <si>
    <t>ФИО</t>
  </si>
  <si>
    <t>дата</t>
  </si>
  <si>
    <t>Номер субкомпонента</t>
  </si>
  <si>
    <t>Наименование субкомпонента</t>
  </si>
  <si>
    <t>Субпоставщик</t>
  </si>
  <si>
    <t>Должность, ФИО</t>
  </si>
  <si>
    <t>Наличие РРАР</t>
  </si>
  <si>
    <t>Подразделение / функция</t>
  </si>
  <si>
    <t>Качество</t>
  </si>
  <si>
    <t>Закупки</t>
  </si>
  <si>
    <t>Конструкция</t>
  </si>
  <si>
    <t>Технология</t>
  </si>
  <si>
    <t>Производство</t>
  </si>
  <si>
    <t>ФИО полностью</t>
  </si>
  <si>
    <t>Другие:</t>
  </si>
  <si>
    <t>Высшее руководство</t>
  </si>
  <si>
    <t>Телефоны</t>
  </si>
  <si>
    <t>Адреса электронной почты</t>
  </si>
  <si>
    <t>АДРЕС</t>
  </si>
  <si>
    <t>Другое</t>
  </si>
  <si>
    <t>Размах</t>
  </si>
  <si>
    <t>Среднее</t>
  </si>
  <si>
    <t>Subgroup chk</t>
  </si>
  <si>
    <t>Н</t>
  </si>
  <si>
    <t>М</t>
  </si>
  <si>
    <t>n</t>
  </si>
  <si>
    <t>ADDING</t>
  </si>
  <si>
    <t>FINAL CALL</t>
  </si>
  <si>
    <t>Более 7-ми последовательных точек под R</t>
  </si>
  <si>
    <t>Более 7-ми последовательных точек над R</t>
  </si>
  <si>
    <t>Более 7-ми последовательных точек под X</t>
  </si>
  <si>
    <t>Ы</t>
  </si>
  <si>
    <t>Более 7-ми последовательных точек над X</t>
  </si>
  <si>
    <r>
      <t>Пригодность процесса (P</t>
    </r>
    <r>
      <rPr>
        <b/>
        <vertAlign val="subscript"/>
        <sz val="10"/>
        <rFont val="Arial"/>
        <family val="2"/>
      </rPr>
      <t>pk</t>
    </r>
    <r>
      <rPr>
        <b/>
        <sz val="10"/>
        <rFont val="Arial"/>
        <family val="2"/>
      </rPr>
      <t>)</t>
    </r>
  </si>
  <si>
    <t>Процесс не отвечает стандартам, необходимо улучшение (PPk &lt; 1.33).</t>
  </si>
  <si>
    <t>Коэффициент пригодности (PR)</t>
  </si>
  <si>
    <t xml:space="preserve">Процесс не отцентрирован/ но в норме (1.33 &lt;= PPk &lt;= 1.67 and CPk &lt; 1.33) - </t>
  </si>
  <si>
    <r>
      <t>Индекс пригодности (P</t>
    </r>
    <r>
      <rPr>
        <vertAlign val="subscript"/>
        <sz val="10"/>
        <rFont val="Arial"/>
        <family val="2"/>
      </rPr>
      <t>P</t>
    </r>
    <r>
      <rPr>
        <sz val="10"/>
        <rFont val="Arial"/>
        <family val="2"/>
      </rPr>
      <t>)</t>
    </r>
  </si>
  <si>
    <t xml:space="preserve">Чрезмерная вариация процесса (Pp &lt; 1.67) - </t>
  </si>
  <si>
    <t>Отклонение (n)</t>
  </si>
  <si>
    <t xml:space="preserve">Вне контрольных пределов (R) - </t>
  </si>
  <si>
    <t>Отклонение (n-1)</t>
  </si>
  <si>
    <t xml:space="preserve">Падение тренда более 7 (R) - </t>
  </si>
  <si>
    <t>Стандартное отклонение (n)</t>
  </si>
  <si>
    <t xml:space="preserve">Рост тренда более 7 (R) - </t>
  </si>
  <si>
    <t>Стандартное отклонение (n-1)</t>
  </si>
  <si>
    <t xml:space="preserve">Вне контрольных пределов (X) - </t>
  </si>
  <si>
    <t>Отношение воспроизводимости (CR)</t>
  </si>
  <si>
    <t xml:space="preserve">Падение тренда более 7 (X) - </t>
  </si>
  <si>
    <r>
      <t>Воспроизводимость процесса (C</t>
    </r>
    <r>
      <rPr>
        <b/>
        <vertAlign val="subscript"/>
        <sz val="10"/>
        <rFont val="Arial"/>
        <family val="2"/>
      </rPr>
      <t>pk</t>
    </r>
    <r>
      <rPr>
        <b/>
        <sz val="10"/>
        <rFont val="Arial"/>
        <family val="2"/>
      </rPr>
      <t>)</t>
    </r>
  </si>
  <si>
    <t xml:space="preserve">Рост тренда более 7 (X) - </t>
  </si>
  <si>
    <r>
      <t>Индекс воспроизводимости (C</t>
    </r>
    <r>
      <rPr>
        <vertAlign val="subscript"/>
        <sz val="10"/>
        <rFont val="Arial"/>
        <family val="2"/>
      </rPr>
      <t>p</t>
    </r>
    <r>
      <rPr>
        <sz val="10"/>
        <rFont val="Arial"/>
        <family val="2"/>
      </rPr>
      <t>)</t>
    </r>
  </si>
  <si>
    <t>Нижн. индекс воспроизводимости (CPL)</t>
  </si>
  <si>
    <t>n from 6 - 10</t>
  </si>
  <si>
    <t>Верх. индекс воспроизводимости (CPU)</t>
  </si>
  <si>
    <t>n from 2-5</t>
  </si>
  <si>
    <t>d2 value</t>
  </si>
  <si>
    <t>n =</t>
  </si>
  <si>
    <r>
      <t>D</t>
    </r>
    <r>
      <rPr>
        <vertAlign val="subscript"/>
        <sz val="10"/>
        <rFont val="Arial"/>
        <family val="2"/>
      </rPr>
      <t>2</t>
    </r>
    <r>
      <rPr>
        <sz val="10"/>
        <rFont val="Arial"/>
        <family val="2"/>
      </rPr>
      <t xml:space="preserve"> коэф.</t>
    </r>
  </si>
  <si>
    <t>Среднее размахов (R)</t>
  </si>
  <si>
    <t>Значений выше USL</t>
  </si>
  <si>
    <t>Значений ниже LSL</t>
  </si>
  <si>
    <t>Data X</t>
  </si>
  <si>
    <t>To chart:</t>
  </si>
  <si>
    <t>Минимум</t>
  </si>
  <si>
    <t>Максимум</t>
  </si>
  <si>
    <t>ГИСТОГРАММА С ДОПУСКАМИ</t>
  </si>
  <si>
    <t>ГИСТОГРАММА БЕЗ ДОПУСКОВ</t>
  </si>
  <si>
    <t xml:space="preserve">  Кол-во послед. точек под средн. R</t>
  </si>
  <si>
    <t>MaxRB</t>
  </si>
  <si>
    <r>
      <t xml:space="preserve">Среднее средних ( </t>
    </r>
    <r>
      <rPr>
        <sz val="8"/>
        <rFont val="Arial"/>
        <family val="2"/>
      </rPr>
      <t xml:space="preserve">X </t>
    </r>
    <r>
      <rPr>
        <sz val="10"/>
        <rFont val="Arial"/>
        <family val="2"/>
      </rPr>
      <t>)</t>
    </r>
  </si>
  <si>
    <t xml:space="preserve">  Кол-во послед. точек над средн. R</t>
  </si>
  <si>
    <t>MaxRA</t>
  </si>
  <si>
    <t>Сумма</t>
  </si>
  <si>
    <t>МИНУС</t>
  </si>
  <si>
    <t>ПЛЮС</t>
  </si>
  <si>
    <t>Номинал</t>
  </si>
  <si>
    <t xml:space="preserve">  Кол-во послед. точек под средн. X</t>
  </si>
  <si>
    <t>MaxXB</t>
  </si>
  <si>
    <t>Верхний допуск (USL)</t>
  </si>
  <si>
    <t>Ед. изм.</t>
  </si>
  <si>
    <t>Описание</t>
  </si>
  <si>
    <t>ДОПУСК</t>
  </si>
  <si>
    <t xml:space="preserve">  Кол-во послед. точек над средн. X</t>
  </si>
  <si>
    <t>MaxXA</t>
  </si>
  <si>
    <t>Номер мерителя</t>
  </si>
  <si>
    <t>МЕРИТЕЛЬ</t>
  </si>
  <si>
    <t>Нижний допуск (LSL)</t>
  </si>
  <si>
    <t>Номер чертежа:</t>
  </si>
  <si>
    <t>RBCounter</t>
  </si>
  <si>
    <t>Количество замеров</t>
  </si>
  <si>
    <t>Описание детали</t>
  </si>
  <si>
    <t>Номер детали:</t>
  </si>
  <si>
    <t>ИЗДЕЛИЕ</t>
  </si>
  <si>
    <t>RACounter</t>
  </si>
  <si>
    <t>ЗНАЧЕНИЕ</t>
  </si>
  <si>
    <t>СТАТИСТИКА ПРОЦЕССА</t>
  </si>
  <si>
    <t>Дата:</t>
  </si>
  <si>
    <t>Отдел:</t>
  </si>
  <si>
    <t>Участок</t>
  </si>
  <si>
    <t>XBCounter</t>
  </si>
  <si>
    <t>XACounter</t>
  </si>
  <si>
    <t>RBelow</t>
  </si>
  <si>
    <t>RAbove</t>
  </si>
  <si>
    <t>XBelow</t>
  </si>
  <si>
    <t>XAbove</t>
  </si>
  <si>
    <t>AJ19</t>
  </si>
  <si>
    <t>Below LCLr</t>
  </si>
  <si>
    <t>AJ18</t>
  </si>
  <si>
    <t>Above UCLr</t>
  </si>
  <si>
    <t>AJ17</t>
  </si>
  <si>
    <t>Below LCLx</t>
  </si>
  <si>
    <t>AJ16</t>
  </si>
  <si>
    <t>Above UCLx</t>
  </si>
  <si>
    <t>sample #</t>
  </si>
  <si>
    <t>RHMDws</t>
  </si>
  <si>
    <t>RHMUps</t>
  </si>
  <si>
    <t>AF37</t>
  </si>
  <si>
    <t>RMaxDown</t>
  </si>
  <si>
    <t>AF36</t>
  </si>
  <si>
    <t>RMaxUP</t>
  </si>
  <si>
    <t>RAcumDw</t>
  </si>
  <si>
    <t>RAcumUP</t>
  </si>
  <si>
    <t>RGoUP</t>
  </si>
  <si>
    <t>XHMDws</t>
  </si>
  <si>
    <t>XHMUps</t>
  </si>
  <si>
    <t>AF30</t>
  </si>
  <si>
    <t>XMaxDown</t>
  </si>
  <si>
    <t>AF29</t>
  </si>
  <si>
    <t>XMaxUP</t>
  </si>
  <si>
    <t>XAcumDw</t>
  </si>
  <si>
    <t>XAcumUP</t>
  </si>
  <si>
    <t>XGoUP</t>
  </si>
  <si>
    <t>LCLr</t>
  </si>
  <si>
    <t>AveR</t>
  </si>
  <si>
    <t>UCLr</t>
  </si>
  <si>
    <t>LCLx</t>
  </si>
  <si>
    <t>AveX</t>
  </si>
  <si>
    <t>UCLx</t>
  </si>
  <si>
    <t>Class</t>
  </si>
  <si>
    <t>Data Values</t>
  </si>
  <si>
    <t>M11</t>
  </si>
  <si>
    <t>Diff</t>
  </si>
  <si>
    <t>D11</t>
  </si>
  <si>
    <t>Final</t>
  </si>
  <si>
    <t>Max</t>
  </si>
  <si>
    <t>6 and up</t>
  </si>
  <si>
    <t>Min</t>
  </si>
  <si>
    <t>High end</t>
  </si>
  <si>
    <t>Low end</t>
  </si>
  <si>
    <t>RH term</t>
  </si>
  <si>
    <t>LH term</t>
  </si>
  <si>
    <t>1 to 5</t>
  </si>
  <si>
    <t>AS14</t>
  </si>
  <si>
    <t>AJ14</t>
  </si>
  <si>
    <t>AS13</t>
  </si>
  <si>
    <t>AJ13</t>
  </si>
  <si>
    <t>AS12</t>
  </si>
  <si>
    <t>AJ12</t>
  </si>
  <si>
    <t>AS11</t>
  </si>
  <si>
    <t>AJ11</t>
  </si>
  <si>
    <t>Кол-во послед. точек под средн.</t>
  </si>
  <si>
    <t>AS10</t>
  </si>
  <si>
    <t>AJ10</t>
  </si>
  <si>
    <t>Кол-во послед. точек над средн.</t>
  </si>
  <si>
    <t>AS09</t>
  </si>
  <si>
    <t>AJ09</t>
  </si>
  <si>
    <t xml:space="preserve">Вне контрольн. пределов </t>
  </si>
  <si>
    <t>мм</t>
  </si>
  <si>
    <t>линейка измерительная 0-1000,0мм</t>
  </si>
  <si>
    <t>AS08</t>
  </si>
  <si>
    <t>AJ08</t>
  </si>
  <si>
    <t>КОЛИЧЕСТВО</t>
  </si>
  <si>
    <t>1697-8923</t>
  </si>
  <si>
    <t>AA3=3 if Max</t>
  </si>
  <si>
    <t>AS07</t>
  </si>
  <si>
    <t>AJ07</t>
  </si>
  <si>
    <t>ДЛИНА ТРЕНДА</t>
  </si>
  <si>
    <t>Убывание</t>
  </si>
  <si>
    <t>999-3502004</t>
  </si>
  <si>
    <t>AA3=2 if Min</t>
  </si>
  <si>
    <t>AS06</t>
  </si>
  <si>
    <t>AJ06</t>
  </si>
  <si>
    <t>PPL</t>
  </si>
  <si>
    <t>Double Sided Tape 850*10*2мм, фингер-т 999-3502004</t>
  </si>
  <si>
    <t>AA3=1 if bilateral</t>
  </si>
  <si>
    <t>AS05</t>
  </si>
  <si>
    <t>AJ05</t>
  </si>
  <si>
    <t>PPU</t>
  </si>
  <si>
    <t>d4</t>
  </si>
  <si>
    <t>d3</t>
  </si>
  <si>
    <t>a2</t>
  </si>
  <si>
    <t>Рост</t>
  </si>
  <si>
    <t>21/200</t>
  </si>
  <si>
    <t>механообрабатывающий №2</t>
  </si>
  <si>
    <t>AA3=0 if none</t>
  </si>
  <si>
    <t>AS04</t>
  </si>
  <si>
    <t>AJ04</t>
  </si>
  <si>
    <t>"</t>
  </si>
  <si>
    <t>Upper R</t>
  </si>
  <si>
    <t>Lower R</t>
  </si>
  <si>
    <t>X bar</t>
  </si>
  <si>
    <t>R Chart</t>
  </si>
  <si>
    <t>X Chart</t>
  </si>
  <si>
    <t>Оценка трендов</t>
  </si>
  <si>
    <t>Д А Н Н Ы Е    П Р О Ц Е С С А</t>
  </si>
  <si>
    <t xml:space="preserve">Объем выборки   </t>
  </si>
  <si>
    <t>ОТЧЕТ О ВОСПРОИЗВОДИМОСТИ ПРОЦЕССА</t>
  </si>
  <si>
    <t>Zkoušející "C"</t>
  </si>
  <si>
    <t>Zkoušející "B"</t>
  </si>
  <si>
    <t>Zkoušející "A"</t>
  </si>
  <si>
    <t>Диаграмма с "бородой" демонстрирует положение и величину размаха измеренных величин отдельных деталей.</t>
  </si>
  <si>
    <t>R</t>
  </si>
  <si>
    <t>Č. dílu</t>
  </si>
  <si>
    <t>Измеритель  не имеет достаточную точность различения - порог чувствительности ( менее 50% баллов  вне регулирующей границы) или  образцы не демонстрируют ожидаемую вариабельность процесса</t>
  </si>
  <si>
    <t>Измеритель имеет достаточную точность различения - порог чувствительности ( 50% баллов и более вне регулирующей границы)</t>
  </si>
  <si>
    <t>X</t>
  </si>
  <si>
    <t>% баллов вне регулирующей границы</t>
  </si>
  <si>
    <t>количество баллов вне регулирующей границы</t>
  </si>
  <si>
    <r>
      <t>D</t>
    </r>
    <r>
      <rPr>
        <b/>
        <vertAlign val="subscript"/>
        <sz val="7"/>
        <rFont val="Arial CE"/>
      </rPr>
      <t>4</t>
    </r>
  </si>
  <si>
    <t>Количество измерений (r)</t>
  </si>
  <si>
    <r>
      <t>A</t>
    </r>
    <r>
      <rPr>
        <b/>
        <vertAlign val="subscript"/>
        <sz val="7"/>
        <rFont val="Arial CE"/>
      </rPr>
      <t>2</t>
    </r>
  </si>
  <si>
    <t>Количество измеренийí (r)</t>
  </si>
  <si>
    <t>LCL</t>
  </si>
  <si>
    <t>CL</t>
  </si>
  <si>
    <t>UCL</t>
  </si>
  <si>
    <t>C</t>
  </si>
  <si>
    <t>B</t>
  </si>
  <si>
    <t>A</t>
  </si>
  <si>
    <t>Регулирующие границы
 для R</t>
  </si>
  <si>
    <t>Регулирующие границы
для Xp</t>
  </si>
  <si>
    <t>Xp</t>
  </si>
  <si>
    <t>№ 
детали</t>
  </si>
  <si>
    <t>MS не дееспособна</t>
  </si>
  <si>
    <t>MS условно дееспособна</t>
  </si>
  <si>
    <t>MS дееспособна</t>
  </si>
  <si>
    <t xml:space="preserve">Меры по исправлению:   
</t>
  </si>
  <si>
    <t>Общая дееспособность измерительной системы (MS)
по % GRR и ndc:</t>
  </si>
  <si>
    <r>
      <t>K</t>
    </r>
    <r>
      <rPr>
        <vertAlign val="subscript"/>
        <sz val="10"/>
        <rFont val="Arial CE"/>
        <charset val="238"/>
      </rPr>
      <t>3</t>
    </r>
  </si>
  <si>
    <r>
      <t xml:space="preserve">&gt; </t>
    </r>
    <r>
      <rPr>
        <sz val="10"/>
        <rFont val="Arial CE"/>
        <family val="2"/>
        <charset val="238"/>
      </rPr>
      <t xml:space="preserve"> 30% - MS не дееспособна</t>
    </r>
  </si>
  <si>
    <t>количество 
деталей</t>
  </si>
  <si>
    <r>
      <t xml:space="preserve">Ł </t>
    </r>
    <r>
      <rPr>
        <sz val="10"/>
        <rFont val="Arial CE"/>
        <family val="2"/>
        <charset val="238"/>
      </rPr>
      <t>30% - MS условно дееспособна</t>
    </r>
  </si>
  <si>
    <r>
      <t xml:space="preserve">Ł </t>
    </r>
    <r>
      <rPr>
        <sz val="10"/>
        <rFont val="Arial CE"/>
        <family val="2"/>
        <charset val="238"/>
      </rPr>
      <t>10% - MS дееспособна</t>
    </r>
  </si>
  <si>
    <r>
      <t>K</t>
    </r>
    <r>
      <rPr>
        <vertAlign val="subscript"/>
        <sz val="10"/>
        <rFont val="Arial CE"/>
        <family val="2"/>
        <charset val="238"/>
      </rPr>
      <t>2</t>
    </r>
  </si>
  <si>
    <r>
      <t>K</t>
    </r>
    <r>
      <rPr>
        <vertAlign val="subscript"/>
        <sz val="10"/>
        <rFont val="Arial CE"/>
        <charset val="238"/>
      </rPr>
      <t>1</t>
    </r>
  </si>
  <si>
    <t>Количество 
испытателей (n)</t>
  </si>
  <si>
    <t>количество 
измерений (r)</t>
  </si>
  <si>
    <t>Дееспособность измерительной системы (MS) по % GRR:</t>
  </si>
  <si>
    <r>
      <t>ndc&lt;5</t>
    </r>
    <r>
      <rPr>
        <sz val="7"/>
        <rFont val="Arial CE"/>
      </rPr>
      <t xml:space="preserve"> точность различения не 
устраивает</t>
    </r>
  </si>
  <si>
    <r>
      <t>ndc≥5</t>
    </r>
    <r>
      <rPr>
        <sz val="7"/>
        <rFont val="Arial CE"/>
      </rPr>
      <t xml:space="preserve"> точность различения 
устраивает</t>
    </r>
  </si>
  <si>
    <t>ndc</t>
  </si>
  <si>
    <t>TV</t>
  </si>
  <si>
    <r>
      <t>Число категорий которые можно надежно различать системой измерен</t>
    </r>
    <r>
      <rPr>
        <sz val="7"/>
        <rFont val="Arial CE"/>
        <family val="2"/>
        <charset val="238"/>
      </rPr>
      <t xml:space="preserve"> (должно быть min. 5)</t>
    </r>
  </si>
  <si>
    <t>ndc=1,41(PV/GRR)</t>
  </si>
  <si>
    <t>Общая изменчивость:</t>
  </si>
  <si>
    <t>%PV=100.(PV/(T/6))</t>
  </si>
  <si>
    <t>% PV</t>
  </si>
  <si>
    <t>%PV=100.(PV/TV)</t>
  </si>
  <si>
    <t>PV</t>
  </si>
  <si>
    <t>Изменчивость детали:</t>
  </si>
  <si>
    <t>Размах между:</t>
  </si>
  <si>
    <t>%GRR=100.(GRR/(T/6))</t>
  </si>
  <si>
    <t>% GRR</t>
  </si>
  <si>
    <t>%GRR=100.(GRR/TV)</t>
  </si>
  <si>
    <t>GRR</t>
  </si>
  <si>
    <t>Повторяемость и воспроизводимость:</t>
  </si>
  <si>
    <t>%AV=100.(AV/(T/6))</t>
  </si>
  <si>
    <t>% AV</t>
  </si>
  <si>
    <t>%AV=100.(AV/TV)</t>
  </si>
  <si>
    <t>AV</t>
  </si>
  <si>
    <t>Воспроизводимость:</t>
  </si>
  <si>
    <t>Расхождение средних 
величин:</t>
  </si>
  <si>
    <t>%EV=100.(EV/(T/6))</t>
  </si>
  <si>
    <t>% EV</t>
  </si>
  <si>
    <t>%EV=100.(EV/TV)</t>
  </si>
  <si>
    <t>EV</t>
  </si>
  <si>
    <t>Повторяемость:</t>
  </si>
  <si>
    <t>Средний размах:</t>
  </si>
  <si>
    <t>T</t>
  </si>
  <si>
    <t>поля допуска</t>
  </si>
  <si>
    <t>вариабильности процесса</t>
  </si>
  <si>
    <r>
      <t>6</t>
    </r>
    <r>
      <rPr>
        <sz val="10"/>
        <rFont val="Symbol"/>
        <family val="1"/>
        <charset val="2"/>
      </rPr>
      <t>s</t>
    </r>
  </si>
  <si>
    <t>Процентные части</t>
  </si>
  <si>
    <t>Абсолютные величины 
показателей вариабельности</t>
  </si>
  <si>
    <t>Выходящая 
статистика</t>
  </si>
  <si>
    <t>В расчетах использовать данную вариабельность 
процесса:</t>
  </si>
  <si>
    <t>Количество деталей</t>
  </si>
  <si>
    <t>Количество испытателей (n)</t>
  </si>
  <si>
    <t>n - количество испытателей</t>
  </si>
  <si>
    <r>
      <t xml:space="preserve">   необходимо повторить тем же работником и тем же испытательным средством</t>
    </r>
    <r>
      <rPr>
        <sz val="6"/>
        <rFont val="Arial CE"/>
        <family val="2"/>
        <charset val="238"/>
      </rPr>
      <t>. Верхнюю регулирующую границу потом рассчитыают снова.</t>
    </r>
  </si>
  <si>
    <r>
      <t xml:space="preserve">r - </t>
    </r>
    <r>
      <rPr>
        <sz val="7"/>
        <rFont val="Arial CE"/>
        <family val="2"/>
        <charset val="238"/>
      </rPr>
      <t>количество измерений</t>
    </r>
  </si>
  <si>
    <t>4. Верхняя граница регулировки UCLR не должна быть превышена ни одной из полученных величин размаха R. Если же превышена, то</t>
  </si>
  <si>
    <t>R - размах i-данной детали 1 испытателя</t>
  </si>
  <si>
    <t>3. каждый испытатель проводит по очереди два измерения и заносит результаты в столбце 2. и 3. измерения.</t>
  </si>
  <si>
    <r>
      <t>Xp</t>
    </r>
    <r>
      <rPr>
        <vertAlign val="subscript"/>
        <sz val="7"/>
        <rFont val="Arial CE"/>
        <family val="2"/>
        <charset val="238"/>
      </rPr>
      <t>i</t>
    </r>
    <r>
      <rPr>
        <sz val="7"/>
        <rFont val="Arial CE"/>
        <family val="2"/>
        <charset val="238"/>
      </rPr>
      <t xml:space="preserve"> - </t>
    </r>
    <r>
      <rPr>
        <sz val="7"/>
        <rFont val="Symbol"/>
        <family val="1"/>
        <charset val="2"/>
      </rPr>
      <t>Ć</t>
    </r>
    <r>
      <rPr>
        <sz val="7"/>
        <rFont val="Arial CE"/>
        <family val="2"/>
        <charset val="238"/>
      </rPr>
      <t xml:space="preserve"> из получ. величин i-данной детали 1 испыт.</t>
    </r>
  </si>
  <si>
    <t>2. Испытатели A, B, C измеряющие параметр, который должен быть исследован, всегда на одном и том же месте записывают полученные данные в столбце 1. измерения.</t>
  </si>
  <si>
    <r>
      <t>X</t>
    </r>
    <r>
      <rPr>
        <vertAlign val="subscript"/>
        <sz val="7"/>
        <rFont val="Arial CE"/>
        <family val="2"/>
        <charset val="238"/>
      </rPr>
      <t>i</t>
    </r>
    <r>
      <rPr>
        <sz val="7"/>
        <rFont val="Arial CE"/>
        <family val="2"/>
        <charset val="238"/>
      </rPr>
      <t xml:space="preserve"> - отд.получ. величины i-данной детали 1 испыт.</t>
    </r>
  </si>
  <si>
    <t>1. Случайный контроль 10 деталей, которые должны быть взяты из производства и обозначены</t>
  </si>
  <si>
    <t>Разъяснения:</t>
  </si>
  <si>
    <t>Замечания:</t>
  </si>
  <si>
    <t>19.</t>
  </si>
  <si>
    <r>
      <t>D</t>
    </r>
    <r>
      <rPr>
        <vertAlign val="subscript"/>
        <sz val="10"/>
        <rFont val="Arial CE"/>
        <family val="2"/>
        <charset val="238"/>
      </rPr>
      <t>4</t>
    </r>
  </si>
  <si>
    <t>18.</t>
  </si>
  <si>
    <t>Количество 
измерений (r)</t>
  </si>
  <si>
    <t>17.</t>
  </si>
  <si>
    <t>ĺ</t>
  </si>
  <si>
    <t>3. измерение</t>
  </si>
  <si>
    <t>2.измерение</t>
  </si>
  <si>
    <t>1. измерение</t>
  </si>
  <si>
    <t>2. измерение</t>
  </si>
  <si>
    <t>3.измерение</t>
  </si>
  <si>
    <t>1. измеренеие</t>
  </si>
  <si>
    <t>Номер детали</t>
  </si>
  <si>
    <t>Малюгина О</t>
  </si>
  <si>
    <t>C -</t>
  </si>
  <si>
    <t>Вилкова Т</t>
  </si>
  <si>
    <t>B -</t>
  </si>
  <si>
    <t>Кирьянова М</t>
  </si>
  <si>
    <t>A -</t>
  </si>
  <si>
    <t>Испытатели</t>
  </si>
  <si>
    <t>16.</t>
  </si>
  <si>
    <t>15.</t>
  </si>
  <si>
    <t>14.</t>
  </si>
  <si>
    <t>13.</t>
  </si>
  <si>
    <t>12.</t>
  </si>
  <si>
    <t>11.</t>
  </si>
  <si>
    <t>10.</t>
  </si>
  <si>
    <t>9.</t>
  </si>
  <si>
    <t>8.</t>
  </si>
  <si>
    <t>7.</t>
  </si>
  <si>
    <t>6.</t>
  </si>
  <si>
    <t>5.</t>
  </si>
  <si>
    <t>4.</t>
  </si>
  <si>
    <t>3.</t>
  </si>
  <si>
    <t>2.</t>
  </si>
  <si>
    <t>1.</t>
  </si>
  <si>
    <t>Оценил:</t>
  </si>
  <si>
    <r>
      <t>6</t>
    </r>
    <r>
      <rPr>
        <sz val="8"/>
        <rFont val="Symbol"/>
        <family val="1"/>
        <charset val="2"/>
      </rPr>
      <t>s</t>
    </r>
  </si>
  <si>
    <t>Вариабельность процесса:</t>
  </si>
  <si>
    <t>Дата оценки:</t>
  </si>
  <si>
    <t>Ширина поля допуска</t>
  </si>
  <si>
    <t>Заказчик:</t>
  </si>
  <si>
    <t>Номер средства измерения:</t>
  </si>
  <si>
    <r>
      <t>850</t>
    </r>
    <r>
      <rPr>
        <sz val="10"/>
        <rFont val="Calibri"/>
        <family val="2"/>
        <charset val="204"/>
      </rPr>
      <t>±</t>
    </r>
    <r>
      <rPr>
        <sz val="10"/>
        <rFont val="Arial CE"/>
        <family val="2"/>
        <charset val="238"/>
      </rPr>
      <t>2 мм</t>
    </r>
  </si>
  <si>
    <t>Спецификация показателя:</t>
  </si>
  <si>
    <t>линейка изм 0-1000,0 мм</t>
  </si>
  <si>
    <t>\</t>
  </si>
  <si>
    <t>Линейный размер/ F</t>
  </si>
  <si>
    <t>Название показателя:</t>
  </si>
  <si>
    <t xml:space="preserve">Double Sided Tape 850*10*2мм, фингерлифт </t>
  </si>
  <si>
    <t>Название детали:</t>
  </si>
  <si>
    <t>2373</t>
  </si>
  <si>
    <t>Протокол
номер:</t>
  </si>
  <si>
    <t>MSA - метод середины и размаха (GRR)</t>
  </si>
  <si>
    <t>Нормативные данные</t>
  </si>
  <si>
    <t>Фактические данные</t>
  </si>
  <si>
    <t>Параметр</t>
  </si>
  <si>
    <t>Время такта</t>
  </si>
  <si>
    <t>Задел входящих деталей</t>
  </si>
  <si>
    <t>Рабочая документация:</t>
  </si>
  <si>
    <t>- рабочие стандарты</t>
  </si>
  <si>
    <t>- графики уборки</t>
  </si>
  <si>
    <t>- стандартизированная работа</t>
  </si>
  <si>
    <t>-</t>
  </si>
  <si>
    <t>- входящей</t>
  </si>
  <si>
    <t>- межоперационной</t>
  </si>
  <si>
    <t>- исходящей</t>
  </si>
  <si>
    <t>Наличие и состояние тары:</t>
  </si>
  <si>
    <t>- стандарты контроля</t>
  </si>
  <si>
    <t>Состояние оборудования</t>
  </si>
  <si>
    <t>Состояние оснастки</t>
  </si>
  <si>
    <t>Состояние средств контроля</t>
  </si>
  <si>
    <t>Состояние рабочих мест</t>
  </si>
  <si>
    <t>Состояние контрольных постов</t>
  </si>
  <si>
    <t>Качество готовой продукции</t>
  </si>
  <si>
    <t>Общие замечания</t>
  </si>
  <si>
    <t>Заключение о пригодности процесса</t>
  </si>
  <si>
    <t>Представитель потребителя (ФИО)</t>
  </si>
  <si>
    <t>Представитель поставщика (ФИО)</t>
  </si>
  <si>
    <t>Упаковка / логистика</t>
  </si>
  <si>
    <t>Продажи</t>
  </si>
  <si>
    <t>Безопасность</t>
  </si>
  <si>
    <t>Согласовал</t>
  </si>
  <si>
    <t>Проверил</t>
  </si>
  <si>
    <t xml:space="preserve">Применяемая погрузочная техника </t>
  </si>
  <si>
    <t>Количество ярусов в штабеле</t>
  </si>
  <si>
    <t>Кол-во изделий в ТС в ед. изм.</t>
  </si>
  <si>
    <t>Грузоподъемность тары, кг</t>
  </si>
  <si>
    <t>Кол-во тарных мест в ТС</t>
  </si>
  <si>
    <t>Высота (мм)</t>
  </si>
  <si>
    <t>Грузоподъемность, тонн</t>
  </si>
  <si>
    <t>Ширина (мм)</t>
  </si>
  <si>
    <t>Длина (мм)</t>
  </si>
  <si>
    <t>Внутренние габариты тары</t>
  </si>
  <si>
    <t>Описание процесса погрузки/особые условия/тип растентовки</t>
  </si>
  <si>
    <t>Внутренние габариты ТС</t>
  </si>
  <si>
    <t>Высота в сложенном состоянии, мм</t>
  </si>
  <si>
    <t>Тип транспортного средства (ТС)</t>
  </si>
  <si>
    <t>Транспортировка</t>
  </si>
  <si>
    <t>Краткое описание процесса упаковки</t>
  </si>
  <si>
    <t>Норма расхода на 1 деталь</t>
  </si>
  <si>
    <t>Наименование</t>
  </si>
  <si>
    <t>Внешние габариты тары</t>
  </si>
  <si>
    <t>Материал 2</t>
  </si>
  <si>
    <t>Вес груза брутто, кг</t>
  </si>
  <si>
    <t>Вес порожней тары, кг</t>
  </si>
  <si>
    <t>Входимость деталей в тару, ед. изм.</t>
  </si>
  <si>
    <t>Материал 1</t>
  </si>
  <si>
    <t>Номер тары</t>
  </si>
  <si>
    <t>Применяемые упаковочные материалы</t>
  </si>
  <si>
    <t>Характеристики необоротной тары</t>
  </si>
  <si>
    <t>Фотография груженной тары в штабеле</t>
  </si>
  <si>
    <t>Фотография груженной (готовой к отгрузке) тары сверху с торца</t>
  </si>
  <si>
    <t>Фотография порожней тары сверху с торца</t>
  </si>
  <si>
    <t>Фотографии необоротной тары</t>
  </si>
  <si>
    <t>Фотографии оборотной тары</t>
  </si>
  <si>
    <t>Характеристики оборотной тары</t>
  </si>
  <si>
    <t>Должность логиста:</t>
  </si>
  <si>
    <t>Масса изделия (кг)</t>
  </si>
  <si>
    <t>Телефон логиста:</t>
  </si>
  <si>
    <t>E-mail логиста:</t>
  </si>
  <si>
    <t>Ф.И.О. логиста:</t>
  </si>
  <si>
    <t>Номенклатурный номер</t>
  </si>
  <si>
    <t>id</t>
  </si>
  <si>
    <t>Адрес:</t>
  </si>
  <si>
    <t>Годовая потребность</t>
  </si>
  <si>
    <t>Нименование поставщика:</t>
  </si>
  <si>
    <t>Наименование предприятия</t>
  </si>
  <si>
    <t>Суффикс</t>
  </si>
  <si>
    <t>Номер</t>
  </si>
  <si>
    <t>Модель</t>
  </si>
  <si>
    <t>Данные поставщика</t>
  </si>
  <si>
    <t>Предприятие РМТ</t>
  </si>
  <si>
    <t>Данные изделия</t>
  </si>
  <si>
    <t>Требования по упаковке и логистике</t>
  </si>
  <si>
    <t>Дата последнего изменения</t>
  </si>
  <si>
    <t xml:space="preserve">Ключевые характеристики и/или </t>
  </si>
  <si>
    <t>законодательные требования</t>
  </si>
  <si>
    <t xml:space="preserve">Примечание: Содержит ли данная часть какие-либо вещества с ограничениями </t>
  </si>
  <si>
    <t>к распространению или подлежащие декларации</t>
  </si>
  <si>
    <t>Фамилия (печатными)</t>
  </si>
  <si>
    <t>Функциональное одобрение компонента:</t>
  </si>
  <si>
    <t>ЗАЯВКА НА ПРЕДСТАВЛЕНИЕ КОМПОНЕНТА (PSW)</t>
  </si>
  <si>
    <t>Срок</t>
  </si>
  <si>
    <t>Требуется (да/нет)</t>
  </si>
  <si>
    <t>Члены команды</t>
  </si>
  <si>
    <t>Класс ключ.. характ. (CC, SC)</t>
  </si>
  <si>
    <t>№ дет./ процесса</t>
  </si>
  <si>
    <t>ДАТА ИСТЕЧ.ВРЕМ.ОДОБР.</t>
  </si>
  <si>
    <r>
      <t>СТАТУС:</t>
    </r>
    <r>
      <rPr>
        <sz val="10"/>
        <rFont val="Arial"/>
        <family val="2"/>
      </rPr>
      <t xml:space="preserve"> Вид или соответствующий статус (A = Одобрено, I = Временно, N = Не выдано)</t>
    </r>
  </si>
  <si>
    <t xml:space="preserve">КРАТКО О ПРИЧИНЕ </t>
  </si>
  <si>
    <r>
      <t>ВЫХОДЫ</t>
    </r>
    <r>
      <rPr>
        <sz val="10"/>
        <rFont val="Arial"/>
        <family val="2"/>
        <charset val="204"/>
      </rPr>
      <t xml:space="preserve">: </t>
    </r>
    <r>
      <rPr>
        <sz val="8"/>
        <rFont val="Arial"/>
        <family val="2"/>
        <charset val="204"/>
      </rPr>
      <t>(Геом. Разм., Вн.вид, Лаб., процесс, оснастка, мощности)</t>
    </r>
  </si>
  <si>
    <r>
      <t xml:space="preserve">ЕСЛИ ПРИМЕНИМО, ОТРАЖЕНЫ ЛИ ВЫХОДЫ ВРЕМ. ОДОБР. В ПЛАНЕ УПРАВЛЕНИЯ? </t>
    </r>
    <r>
      <rPr>
        <sz val="8"/>
        <rFont val="Arial"/>
        <family val="2"/>
        <charset val="204"/>
      </rPr>
      <t>(например: переделка, временные операции)</t>
    </r>
  </si>
  <si>
    <r>
      <t xml:space="preserve">ПОСТАВЩИК </t>
    </r>
    <r>
      <rPr>
        <sz val="8"/>
        <rFont val="Arial"/>
        <family val="2"/>
        <charset val="204"/>
      </rPr>
      <t>(ПОДПИСЬ ОТВЕТСТВЕННОГО ЛИЦА):</t>
    </r>
  </si>
  <si>
    <t>ФАМИЛИЯ и ДОЛЖНОСТЬ: (Печатными)</t>
  </si>
  <si>
    <t>РУЧАТЕЛЬСТВО ПО ПРЕДСТАВЛЕНИЮ ЧАСТИ ДОЛЖНО БЫТЬ ВКЛЮЧЕНО С ОДОБРЕНИЕМ ПОТРЕБИТЕЛЯ В ЗАКАЗ, ЧТОБЫ ПРОРАБОТАТЬ ВАШ ЗАПРОС И ВЫДАТЬ В</t>
  </si>
  <si>
    <t>ОДОБРЕНИЕ ПОТРЕБИТЕЛЯ:</t>
  </si>
  <si>
    <t>ФАМИЛИЯ (Печатными)</t>
  </si>
  <si>
    <t>ИНЖЕНЕР, ОТВЕТСТВЕННЫЙ ЗА ПРОДУКТ:</t>
  </si>
  <si>
    <t xml:space="preserve">Данным подтверждаю, что образцы, предоставленные с данным ручательством, представляющие наши компоненты, изготовлены </t>
  </si>
  <si>
    <t>в соответствии с требованиями потребителя.  Кроме того, я ручаюсь, что данные</t>
  </si>
  <si>
    <t xml:space="preserve">образцы были произведены в производственной серии _____/ 8 часов. </t>
  </si>
  <si>
    <t>Адрес (улица, дом)</t>
  </si>
  <si>
    <t>СТМ</t>
  </si>
  <si>
    <t>Процесс одобрения производства компонента</t>
  </si>
  <si>
    <t>Номер комплектующего</t>
  </si>
  <si>
    <t>Наименование комплектующего</t>
  </si>
  <si>
    <t>Уровень изменения</t>
  </si>
  <si>
    <t>Дата изменения</t>
  </si>
  <si>
    <t>Подразделение и данные поставщика</t>
  </si>
  <si>
    <t>Номер оснастки</t>
  </si>
  <si>
    <t>Номер гнезда</t>
  </si>
  <si>
    <t>Номер машины / оборудования</t>
  </si>
  <si>
    <t>Кем принят</t>
  </si>
  <si>
    <t xml:space="preserve"> Дата принятия</t>
  </si>
  <si>
    <t>ПОДПИСИ ПРЕДСТАВИТЕЛЕЙ ПОСТАВЩИКА</t>
  </si>
  <si>
    <t>ПОДПИСИ ПРЕДСТАВИТЕЛЕЙ ЗАКАЗЧИКА</t>
  </si>
  <si>
    <t xml:space="preserve">Произвести уборку станка согласно карте </t>
  </si>
  <si>
    <t>Убрать инструмент согласно стандарту рабочего места</t>
  </si>
  <si>
    <t>Снять деталь со станка,переместить на паллет</t>
  </si>
  <si>
    <t>Снять деталь с приспособления</t>
  </si>
  <si>
    <t>Проверка детали на соответствие допускам согласно чертежу</t>
  </si>
  <si>
    <t>Контроль качества обработки</t>
  </si>
  <si>
    <t>Обратить внимание на состояние пластины</t>
  </si>
  <si>
    <t>Находится за защитным стеклом</t>
  </si>
  <si>
    <t>Контролировать обработку детали</t>
  </si>
  <si>
    <t>Установить пластину новой гранью</t>
  </si>
  <si>
    <t>разжать крепление пластины, перевернуть пластину новой стороной, зажать крепление пластины</t>
  </si>
  <si>
    <t>Работать в каске, защитных очках, перчатках.</t>
  </si>
  <si>
    <t>Обдуть заготовку</t>
  </si>
  <si>
    <t xml:space="preserve">Настроить станок </t>
  </si>
  <si>
    <t>Заменить инструмент</t>
  </si>
  <si>
    <t>Закрепить заготовку в приспособлении</t>
  </si>
  <si>
    <t>Обдуть заготовку и приспособление</t>
  </si>
  <si>
    <t>Освободить пространство вокруг станка от посторонних</t>
  </si>
  <si>
    <t>Переместить заготовку при помощи крана на приспособление</t>
  </si>
  <si>
    <t>Визуализация</t>
  </si>
  <si>
    <t>Время выполнения, сек.</t>
  </si>
  <si>
    <t>Описание операции</t>
  </si>
  <si>
    <t>№</t>
  </si>
  <si>
    <t>Инженер О.Т</t>
  </si>
  <si>
    <t>Охрана труда</t>
  </si>
  <si>
    <t>Начальник отдела ОРПС</t>
  </si>
  <si>
    <t>Деталь: Головка 0330-05-010-9</t>
  </si>
  <si>
    <t>Технолог</t>
  </si>
  <si>
    <t>Производственная ячейка "Уральский Дизельно-моторный завод"</t>
  </si>
  <si>
    <t>Специалист ОРПС</t>
  </si>
  <si>
    <t>Разработал</t>
  </si>
  <si>
    <t>Рабочее место №</t>
  </si>
  <si>
    <t>Стандарт операционной процедуры (СОП) № 1</t>
  </si>
  <si>
    <t>Приложение 2 к МУ-СТМ.И-О4-06 Процесс одобрения производства компонента (РРАР)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</si>
</sst>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_);_(* \(#,##0\);_(* &quot;-&quot;_);_(@_)"/>
    <numFmt numFmtId="165" formatCode="_(* #,##0.00_);_(* \(#,##0.00\);_(* &quot;-&quot;??_);_(@_)"/>
    <numFmt numFmtId="166" formatCode="0.0000"/>
    <numFmt numFmtId="167" formatCode="mm/dd/yy"/>
    <numFmt numFmtId="168" formatCode="#,##0.0###"/>
    <numFmt numFmtId="169" formatCode="#,##0.0000"/>
    <numFmt numFmtId="170" formatCode="#,##0.000"/>
    <numFmt numFmtId="171" formatCode="0.00000"/>
    <numFmt numFmtId="172" formatCode="0.000"/>
  </numFmts>
  <fonts count="110">
    <font>
      <sz val="10"/>
      <name val="Arial"/>
    </font>
    <font>
      <sz val="11"/>
      <color theme="1"/>
      <name val="Calibri"/>
      <family val="2"/>
      <charset val="204"/>
      <scheme val="minor"/>
    </font>
    <font>
      <sz val="11"/>
      <color theme="1"/>
      <name val="Calibri"/>
      <family val="2"/>
      <charset val="204"/>
      <scheme val="minor"/>
    </font>
    <font>
      <sz val="10"/>
      <name val="Arial"/>
    </font>
    <font>
      <sz val="6"/>
      <name val="Arial"/>
      <family val="2"/>
    </font>
    <font>
      <sz val="12"/>
      <name val="Arial"/>
      <family val="2"/>
    </font>
    <font>
      <sz val="8"/>
      <name val="Arial"/>
      <family val="2"/>
    </font>
    <font>
      <sz val="10"/>
      <name val="Arial"/>
      <family val="2"/>
    </font>
    <font>
      <b/>
      <sz val="12"/>
      <name val="Arial"/>
      <family val="2"/>
    </font>
    <font>
      <b/>
      <sz val="10"/>
      <name val="Arial"/>
      <family val="2"/>
    </font>
    <font>
      <sz val="10"/>
      <color indexed="12"/>
      <name val="Arial"/>
      <family val="2"/>
    </font>
    <font>
      <b/>
      <sz val="6"/>
      <name val="Arial"/>
    </font>
    <font>
      <sz val="7"/>
      <name val="Arial"/>
      <family val="2"/>
    </font>
    <font>
      <sz val="14"/>
      <name val="Arial"/>
      <family val="2"/>
    </font>
    <font>
      <sz val="10"/>
      <color indexed="10"/>
      <name val="Arial"/>
      <family val="2"/>
    </font>
    <font>
      <b/>
      <sz val="8"/>
      <name val="Arial"/>
    </font>
    <font>
      <sz val="8"/>
      <name val="Arial"/>
    </font>
    <font>
      <b/>
      <sz val="8"/>
      <name val="Arial"/>
      <family val="2"/>
    </font>
    <font>
      <sz val="10"/>
      <color indexed="20"/>
      <name val="Arial"/>
      <family val="2"/>
    </font>
    <font>
      <sz val="8"/>
      <color indexed="20"/>
      <name val="Arial"/>
      <family val="2"/>
    </font>
    <font>
      <sz val="8"/>
      <color indexed="12"/>
      <name val="Arial"/>
      <family val="2"/>
    </font>
    <font>
      <sz val="6"/>
      <name val="Arial"/>
    </font>
    <font>
      <sz val="6"/>
      <color indexed="12"/>
      <name val="Arial"/>
      <family val="2"/>
    </font>
    <font>
      <sz val="8"/>
      <color indexed="10"/>
      <name val="Arial"/>
      <family val="2"/>
    </font>
    <font>
      <sz val="9"/>
      <name val="Arial"/>
    </font>
    <font>
      <sz val="6"/>
      <color indexed="20"/>
      <name val="Arial"/>
      <family val="2"/>
    </font>
    <font>
      <sz val="4"/>
      <color indexed="20"/>
      <name val="Arial"/>
      <family val="2"/>
    </font>
    <font>
      <sz val="14"/>
      <color indexed="20"/>
      <name val="Arial"/>
      <family val="2"/>
    </font>
    <font>
      <sz val="9"/>
      <name val="Arial"/>
      <family val="2"/>
      <charset val="204"/>
    </font>
    <font>
      <sz val="8"/>
      <name val="Arial"/>
      <family val="2"/>
      <charset val="204"/>
    </font>
    <font>
      <sz val="8"/>
      <color indexed="12"/>
      <name val="Arial"/>
    </font>
    <font>
      <sz val="8"/>
      <color indexed="10"/>
      <name val="Arial"/>
    </font>
    <font>
      <b/>
      <sz val="12"/>
      <name val="Arial"/>
      <family val="2"/>
      <charset val="204"/>
    </font>
    <font>
      <b/>
      <sz val="10"/>
      <name val="Arial"/>
      <family val="2"/>
      <charset val="204"/>
    </font>
    <font>
      <sz val="10"/>
      <name val="Arial"/>
      <family val="2"/>
      <charset val="204"/>
    </font>
    <font>
      <sz val="7"/>
      <name val="Arial"/>
      <family val="2"/>
      <charset val="204"/>
    </font>
    <font>
      <b/>
      <sz val="8"/>
      <name val="Arial"/>
      <family val="2"/>
      <charset val="204"/>
    </font>
    <font>
      <b/>
      <sz val="9"/>
      <name val="Arial"/>
      <family val="2"/>
      <charset val="204"/>
    </font>
    <font>
      <b/>
      <sz val="8"/>
      <color indexed="12"/>
      <name val="Arial"/>
      <family val="2"/>
      <charset val="204"/>
    </font>
    <font>
      <b/>
      <sz val="16"/>
      <color indexed="9"/>
      <name val="Arial"/>
      <family val="2"/>
    </font>
    <font>
      <sz val="12"/>
      <color indexed="81"/>
      <name val="Tahoma"/>
      <family val="2"/>
      <charset val="204"/>
    </font>
    <font>
      <sz val="8"/>
      <color rgb="FF000000"/>
      <name val="Tahoma"/>
      <family val="2"/>
      <charset val="204"/>
    </font>
    <font>
      <sz val="9"/>
      <color indexed="12"/>
      <name val="Arial"/>
      <family val="2"/>
    </font>
    <font>
      <sz val="9"/>
      <name val="Arial"/>
      <family val="2"/>
    </font>
    <font>
      <b/>
      <sz val="9"/>
      <name val="Arial"/>
      <family val="2"/>
    </font>
    <font>
      <sz val="10"/>
      <color theme="1"/>
      <name val="Arial"/>
      <family val="2"/>
      <charset val="204"/>
    </font>
    <font>
      <b/>
      <sz val="10"/>
      <color indexed="9"/>
      <name val="Arial"/>
      <family val="2"/>
    </font>
    <font>
      <b/>
      <sz val="10"/>
      <color indexed="10"/>
      <name val="Arial"/>
      <family val="2"/>
    </font>
    <font>
      <b/>
      <vertAlign val="subscript"/>
      <sz val="10"/>
      <name val="Arial"/>
      <family val="2"/>
    </font>
    <font>
      <vertAlign val="subscript"/>
      <sz val="10"/>
      <name val="Arial"/>
      <family val="2"/>
    </font>
    <font>
      <sz val="10"/>
      <color indexed="12"/>
      <name val="Arial"/>
      <family val="2"/>
      <charset val="204"/>
    </font>
    <font>
      <sz val="7"/>
      <color indexed="12"/>
      <name val="Arial"/>
      <family val="2"/>
    </font>
    <font>
      <sz val="10"/>
      <color indexed="9"/>
      <name val="Arial"/>
      <family val="2"/>
    </font>
    <font>
      <sz val="6"/>
      <color indexed="9"/>
      <name val="Arial"/>
      <family val="2"/>
    </font>
    <font>
      <sz val="14"/>
      <color indexed="12"/>
      <name val="Arial"/>
      <family val="2"/>
    </font>
    <font>
      <b/>
      <sz val="18"/>
      <name val="Arial"/>
      <family val="2"/>
    </font>
    <font>
      <sz val="14"/>
      <name val="Arial"/>
      <family val="2"/>
      <charset val="204"/>
    </font>
    <font>
      <b/>
      <sz val="6"/>
      <name val="Arial"/>
      <family val="2"/>
    </font>
    <font>
      <b/>
      <sz val="14"/>
      <color indexed="10"/>
      <name val="Arial"/>
      <family val="2"/>
    </font>
    <font>
      <sz val="16"/>
      <name val="Arial"/>
      <family val="2"/>
    </font>
    <font>
      <sz val="18"/>
      <name val="Arial"/>
      <family val="2"/>
    </font>
    <font>
      <sz val="8"/>
      <color indexed="81"/>
      <name val="Tahoma"/>
      <family val="2"/>
      <charset val="204"/>
    </font>
    <font>
      <sz val="10"/>
      <name val="Arial CE"/>
    </font>
    <font>
      <b/>
      <sz val="10"/>
      <name val="Arial"/>
      <family val="2"/>
      <charset val="238"/>
    </font>
    <font>
      <b/>
      <sz val="10"/>
      <name val="Arial CE"/>
      <charset val="238"/>
    </font>
    <font>
      <sz val="7"/>
      <name val="Arial CE"/>
    </font>
    <font>
      <sz val="8"/>
      <name val="Arial"/>
      <family val="2"/>
      <charset val="238"/>
    </font>
    <font>
      <b/>
      <sz val="7"/>
      <name val="Arial CE"/>
    </font>
    <font>
      <b/>
      <vertAlign val="subscript"/>
      <sz val="7"/>
      <name val="Arial CE"/>
    </font>
    <font>
      <b/>
      <sz val="8"/>
      <name val="Arial"/>
      <family val="2"/>
      <charset val="238"/>
    </font>
    <font>
      <sz val="10"/>
      <name val="Symbol"/>
      <family val="1"/>
      <charset val="2"/>
    </font>
    <font>
      <sz val="10"/>
      <name val="Arial CE"/>
      <family val="2"/>
      <charset val="238"/>
    </font>
    <font>
      <b/>
      <sz val="10"/>
      <name val="Arial CE"/>
      <family val="2"/>
      <charset val="238"/>
    </font>
    <font>
      <b/>
      <sz val="8"/>
      <name val="Arial CE"/>
    </font>
    <font>
      <sz val="10"/>
      <name val="Arial CE"/>
      <charset val="204"/>
    </font>
    <font>
      <vertAlign val="subscript"/>
      <sz val="10"/>
      <name val="Arial CE"/>
      <charset val="238"/>
    </font>
    <font>
      <sz val="8"/>
      <name val="Arial CE"/>
    </font>
    <font>
      <vertAlign val="subscript"/>
      <sz val="10"/>
      <name val="Arial CE"/>
      <family val="2"/>
      <charset val="238"/>
    </font>
    <font>
      <b/>
      <sz val="10"/>
      <name val="Arial CE"/>
    </font>
    <font>
      <b/>
      <sz val="7"/>
      <name val="Arial CE"/>
      <family val="2"/>
      <charset val="238"/>
    </font>
    <font>
      <sz val="7"/>
      <name val="Arial CE"/>
      <family val="2"/>
      <charset val="238"/>
    </font>
    <font>
      <b/>
      <sz val="8"/>
      <name val="Arial CE"/>
      <family val="2"/>
      <charset val="238"/>
    </font>
    <font>
      <b/>
      <sz val="9"/>
      <name val="Arial CE"/>
      <family val="2"/>
      <charset val="238"/>
    </font>
    <font>
      <sz val="11"/>
      <name val="Arial CE"/>
      <family val="2"/>
      <charset val="238"/>
    </font>
    <font>
      <sz val="6"/>
      <name val="Arial CE"/>
      <family val="2"/>
      <charset val="238"/>
    </font>
    <font>
      <vertAlign val="subscript"/>
      <sz val="7"/>
      <name val="Arial CE"/>
      <family val="2"/>
      <charset val="238"/>
    </font>
    <font>
      <sz val="7"/>
      <name val="Symbol"/>
      <family val="1"/>
      <charset val="2"/>
    </font>
    <font>
      <sz val="9"/>
      <name val="Arial CE"/>
    </font>
    <font>
      <sz val="9"/>
      <name val="Arial CE"/>
      <family val="2"/>
      <charset val="238"/>
    </font>
    <font>
      <b/>
      <sz val="6"/>
      <name val="Arial CE"/>
      <family val="2"/>
      <charset val="238"/>
    </font>
    <font>
      <sz val="10"/>
      <color indexed="22"/>
      <name val="Arial CE"/>
      <family val="2"/>
      <charset val="238"/>
    </font>
    <font>
      <sz val="8"/>
      <name val="Arial CE"/>
      <family val="2"/>
      <charset val="238"/>
    </font>
    <font>
      <sz val="8"/>
      <name val="Symbol"/>
      <family val="1"/>
      <charset val="2"/>
    </font>
    <font>
      <sz val="10"/>
      <name val="Arial CE"/>
      <charset val="238"/>
    </font>
    <font>
      <sz val="10"/>
      <name val="Calibri"/>
      <family val="2"/>
      <charset val="204"/>
    </font>
    <font>
      <b/>
      <sz val="7"/>
      <name val="Arial CE"/>
      <charset val="204"/>
    </font>
    <font>
      <b/>
      <sz val="12"/>
      <name val="Arial CE"/>
      <family val="2"/>
      <charset val="238"/>
    </font>
    <font>
      <b/>
      <sz val="12"/>
      <name val="Arial CE"/>
    </font>
    <font>
      <b/>
      <sz val="8"/>
      <color indexed="81"/>
      <name val="Tahoma"/>
      <family val="2"/>
      <charset val="204"/>
    </font>
    <font>
      <b/>
      <sz val="8"/>
      <color indexed="81"/>
      <name val="Tahoma"/>
      <family val="2"/>
      <charset val="238"/>
    </font>
    <font>
      <sz val="10"/>
      <color theme="1"/>
      <name val="Calibri"/>
      <family val="2"/>
      <charset val="204"/>
      <scheme val="minor"/>
    </font>
    <font>
      <sz val="10"/>
      <color rgb="FFFF0000"/>
      <name val="Calibri"/>
      <family val="2"/>
      <charset val="204"/>
      <scheme val="minor"/>
    </font>
    <font>
      <sz val="10"/>
      <name val="Calibri"/>
      <family val="2"/>
      <charset val="204"/>
      <scheme val="minor"/>
    </font>
    <font>
      <b/>
      <sz val="10"/>
      <color theme="1"/>
      <name val="Calibri"/>
      <family val="2"/>
      <charset val="204"/>
      <scheme val="minor"/>
    </font>
    <font>
      <sz val="14"/>
      <color theme="1"/>
      <name val="Calibri"/>
      <family val="2"/>
      <charset val="204"/>
      <scheme val="minor"/>
    </font>
    <font>
      <b/>
      <sz val="12"/>
      <color theme="1"/>
      <name val="Calibri"/>
      <family val="2"/>
      <charset val="204"/>
      <scheme val="minor"/>
    </font>
    <font>
      <sz val="11"/>
      <color theme="1"/>
      <name val="Calibri"/>
      <family val="2"/>
      <scheme val="minor"/>
    </font>
    <font>
      <sz val="12"/>
      <color theme="1"/>
      <name val="Arial"/>
      <family val="2"/>
      <charset val="204"/>
    </font>
    <font>
      <b/>
      <sz val="12"/>
      <color theme="1"/>
      <name val="Arial"/>
      <family val="2"/>
      <charset val="204"/>
    </font>
    <font>
      <sz val="18"/>
      <color theme="1"/>
      <name val="Arial"/>
      <family val="2"/>
      <charset val="204"/>
    </font>
  </fonts>
  <fills count="16">
    <fill>
      <patternFill patternType="none"/>
    </fill>
    <fill>
      <patternFill patternType="gray125"/>
    </fill>
    <fill>
      <patternFill patternType="solid">
        <fgColor indexed="20"/>
        <bgColor indexed="64"/>
      </patternFill>
    </fill>
    <fill>
      <patternFill patternType="solid">
        <fgColor indexed="36"/>
        <bgColor indexed="64"/>
      </patternFill>
    </fill>
    <fill>
      <patternFill patternType="solid">
        <fgColor indexed="22"/>
        <bgColor indexed="64"/>
      </patternFill>
    </fill>
    <fill>
      <patternFill patternType="solid">
        <fgColor indexed="43"/>
        <bgColor indexed="64"/>
      </patternFill>
    </fill>
    <fill>
      <patternFill patternType="solid">
        <fgColor indexed="8"/>
        <bgColor indexed="64"/>
      </patternFill>
    </fill>
    <fill>
      <patternFill patternType="solid">
        <fgColor indexed="9"/>
        <bgColor indexed="64"/>
      </patternFill>
    </fill>
    <fill>
      <patternFill patternType="solid">
        <fgColor indexed="14"/>
        <bgColor indexed="64"/>
      </patternFill>
    </fill>
    <fill>
      <patternFill patternType="solid">
        <fgColor indexed="41"/>
        <bgColor indexed="64"/>
      </patternFill>
    </fill>
    <fill>
      <patternFill patternType="solid">
        <fgColor indexed="15"/>
        <bgColor indexed="64"/>
      </patternFill>
    </fill>
    <fill>
      <patternFill patternType="solid">
        <fgColor indexed="11"/>
        <bgColor indexed="64"/>
      </patternFill>
    </fill>
    <fill>
      <patternFill patternType="solid">
        <fgColor indexed="15"/>
        <bgColor indexed="35"/>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s>
  <borders count="9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thin">
        <color indexed="64"/>
      </right>
      <top style="medium">
        <color indexed="64"/>
      </top>
      <bottom/>
      <diagonal/>
    </border>
    <border>
      <left style="thin">
        <color indexed="64"/>
      </left>
      <right/>
      <top style="medium">
        <color indexed="64"/>
      </top>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style="thick">
        <color indexed="64"/>
      </left>
      <right/>
      <top style="thick">
        <color indexed="64"/>
      </top>
      <bottom style="thick">
        <color indexed="64"/>
      </bottom>
      <diagonal/>
    </border>
  </borders>
  <cellStyleXfs count="9">
    <xf numFmtId="0" fontId="0" fillId="0" borderId="0"/>
    <xf numFmtId="165" fontId="3" fillId="0" borderId="0" applyFont="0" applyFill="0" applyBorder="0" applyAlignment="0" applyProtection="0"/>
    <xf numFmtId="164" fontId="3" fillId="0" borderId="0" applyFont="0" applyFill="0" applyBorder="0" applyAlignment="0" applyProtection="0"/>
    <xf numFmtId="0" fontId="34" fillId="0" borderId="0"/>
    <xf numFmtId="0" fontId="62" fillId="0" borderId="0"/>
    <xf numFmtId="9" fontId="34" fillId="0" borderId="0" applyFont="0" applyFill="0" applyBorder="0" applyAlignment="0" applyProtection="0"/>
    <xf numFmtId="0" fontId="2" fillId="0" borderId="0"/>
    <xf numFmtId="0" fontId="1" fillId="0" borderId="0"/>
    <xf numFmtId="0" fontId="106" fillId="0" borderId="0"/>
  </cellStyleXfs>
  <cellXfs count="1373">
    <xf numFmtId="0" fontId="0" fillId="0" borderId="0" xfId="0"/>
    <xf numFmtId="0" fontId="6" fillId="0" borderId="0" xfId="0" applyFont="1" applyFill="1" applyBorder="1" applyProtection="1"/>
    <xf numFmtId="0" fontId="7" fillId="0" borderId="1" xfId="0" applyFont="1" applyFill="1" applyBorder="1"/>
    <xf numFmtId="0" fontId="0" fillId="0" borderId="0" xfId="0" applyFill="1"/>
    <xf numFmtId="0" fontId="0" fillId="0" borderId="0" xfId="0" applyFill="1" applyAlignment="1">
      <alignment horizontal="centerContinuous"/>
    </xf>
    <xf numFmtId="0" fontId="4" fillId="0" borderId="0" xfId="0" applyFont="1" applyFill="1" applyBorder="1"/>
    <xf numFmtId="0" fontId="4" fillId="0" borderId="2" xfId="0" applyFont="1" applyFill="1" applyBorder="1"/>
    <xf numFmtId="0" fontId="4" fillId="0" borderId="3" xfId="0" applyFont="1" applyFill="1" applyBorder="1"/>
    <xf numFmtId="0" fontId="4" fillId="0" borderId="4" xfId="0" applyFont="1" applyFill="1" applyBorder="1"/>
    <xf numFmtId="0" fontId="10" fillId="0" borderId="5" xfId="0" applyFont="1" applyFill="1" applyBorder="1" applyProtection="1">
      <protection locked="0"/>
    </xf>
    <xf numFmtId="0" fontId="0" fillId="0" borderId="1" xfId="0" applyFill="1" applyBorder="1"/>
    <xf numFmtId="0" fontId="0" fillId="0" borderId="6" xfId="0" applyFill="1" applyBorder="1"/>
    <xf numFmtId="0" fontId="4" fillId="0" borderId="7" xfId="0" applyFont="1" applyFill="1" applyBorder="1"/>
    <xf numFmtId="0" fontId="0" fillId="0" borderId="0" xfId="0" applyFill="1" applyBorder="1"/>
    <xf numFmtId="0" fontId="0" fillId="0" borderId="7" xfId="0" applyFill="1" applyBorder="1"/>
    <xf numFmtId="0" fontId="10" fillId="0" borderId="1" xfId="0" applyFont="1" applyFill="1" applyBorder="1" applyProtection="1">
      <protection locked="0"/>
    </xf>
    <xf numFmtId="0" fontId="12" fillId="0" borderId="0" xfId="0" applyFont="1" applyFill="1" applyBorder="1"/>
    <xf numFmtId="0" fontId="12" fillId="0" borderId="7" xfId="0" applyFont="1" applyFill="1" applyBorder="1"/>
    <xf numFmtId="0" fontId="4" fillId="0" borderId="1" xfId="0" applyFont="1" applyFill="1" applyBorder="1"/>
    <xf numFmtId="0" fontId="4" fillId="0" borderId="6" xfId="0" applyFont="1" applyFill="1" applyBorder="1"/>
    <xf numFmtId="0" fontId="12" fillId="0" borderId="3" xfId="0" applyFont="1" applyFill="1" applyBorder="1"/>
    <xf numFmtId="0" fontId="12" fillId="0" borderId="4" xfId="0" applyFont="1" applyFill="1" applyBorder="1"/>
    <xf numFmtId="0" fontId="10" fillId="0" borderId="0" xfId="0" applyFont="1" applyFill="1" applyBorder="1" applyProtection="1">
      <protection locked="0"/>
    </xf>
    <xf numFmtId="0" fontId="0" fillId="2" borderId="0" xfId="0" applyFill="1"/>
    <xf numFmtId="0" fontId="4" fillId="2" borderId="0" xfId="0" applyFont="1" applyFill="1"/>
    <xf numFmtId="0" fontId="7" fillId="2" borderId="0" xfId="0" applyFont="1" applyFill="1"/>
    <xf numFmtId="0" fontId="4" fillId="0" borderId="0" xfId="0" applyFont="1" applyFill="1" applyAlignment="1">
      <alignment horizontal="centerContinuous"/>
    </xf>
    <xf numFmtId="0" fontId="6" fillId="0" borderId="0" xfId="0" applyFont="1" applyFill="1"/>
    <xf numFmtId="0" fontId="6" fillId="2" borderId="0" xfId="0" applyFont="1" applyFill="1"/>
    <xf numFmtId="0" fontId="0" fillId="2" borderId="0" xfId="0" applyFill="1" applyProtection="1"/>
    <xf numFmtId="0" fontId="7" fillId="0" borderId="0" xfId="0" applyFont="1" applyFill="1" applyBorder="1" applyAlignment="1" applyProtection="1"/>
    <xf numFmtId="0" fontId="7" fillId="0" borderId="0" xfId="0" applyFont="1" applyFill="1" applyAlignment="1" applyProtection="1"/>
    <xf numFmtId="0" fontId="7" fillId="0" borderId="0" xfId="0" applyFont="1" applyFill="1" applyBorder="1" applyAlignment="1" applyProtection="1">
      <alignment horizontal="centerContinuous"/>
    </xf>
    <xf numFmtId="0" fontId="7" fillId="0" borderId="0" xfId="0" applyFont="1" applyFill="1" applyAlignment="1" applyProtection="1">
      <alignment horizontal="centerContinuous"/>
    </xf>
    <xf numFmtId="0" fontId="6" fillId="0" borderId="0" xfId="0" applyFont="1" applyFill="1" applyAlignment="1" applyProtection="1">
      <alignment horizontal="centerContinuous"/>
    </xf>
    <xf numFmtId="0" fontId="6" fillId="0" borderId="0" xfId="0" applyFont="1" applyFill="1" applyBorder="1" applyAlignment="1" applyProtection="1">
      <alignment horizontal="centerContinuous"/>
    </xf>
    <xf numFmtId="0" fontId="4" fillId="0" borderId="0" xfId="0" applyFont="1" applyFill="1" applyProtection="1"/>
    <xf numFmtId="0" fontId="4" fillId="0" borderId="0" xfId="0" applyFont="1" applyFill="1" applyBorder="1" applyAlignment="1" applyProtection="1">
      <alignment horizontal="centerContinuous"/>
    </xf>
    <xf numFmtId="0" fontId="4" fillId="0" borderId="0" xfId="0" applyFont="1" applyFill="1" applyBorder="1" applyProtection="1"/>
    <xf numFmtId="0" fontId="4" fillId="0" borderId="3" xfId="0" applyFont="1" applyFill="1" applyBorder="1" applyProtection="1"/>
    <xf numFmtId="0" fontId="4" fillId="0" borderId="4" xfId="0" applyFont="1" applyFill="1" applyBorder="1" applyProtection="1"/>
    <xf numFmtId="0" fontId="0" fillId="0" borderId="1" xfId="0" applyFill="1" applyBorder="1" applyProtection="1"/>
    <xf numFmtId="0" fontId="0" fillId="0" borderId="6" xfId="0" applyFill="1" applyBorder="1" applyProtection="1"/>
    <xf numFmtId="0" fontId="4" fillId="0" borderId="8" xfId="0" applyFont="1" applyFill="1" applyBorder="1" applyProtection="1"/>
    <xf numFmtId="0" fontId="4" fillId="0" borderId="7" xfId="0" applyFont="1" applyFill="1" applyBorder="1" applyProtection="1"/>
    <xf numFmtId="0" fontId="7" fillId="0" borderId="5" xfId="0" applyFont="1" applyFill="1" applyBorder="1" applyProtection="1"/>
    <xf numFmtId="0" fontId="7" fillId="0" borderId="1" xfId="0" applyFont="1" applyFill="1" applyBorder="1" applyProtection="1"/>
    <xf numFmtId="0" fontId="7" fillId="0" borderId="6" xfId="0" applyFont="1" applyFill="1" applyBorder="1" applyProtection="1"/>
    <xf numFmtId="0" fontId="7" fillId="0" borderId="0" xfId="0" applyFont="1" applyFill="1" applyBorder="1" applyProtection="1"/>
    <xf numFmtId="0" fontId="0" fillId="0" borderId="0" xfId="0" applyFill="1" applyProtection="1"/>
    <xf numFmtId="0" fontId="6" fillId="0" borderId="0" xfId="0" applyFont="1" applyFill="1" applyProtection="1"/>
    <xf numFmtId="0" fontId="7" fillId="2" borderId="0" xfId="0" applyFont="1" applyFill="1" applyAlignment="1" applyProtection="1"/>
    <xf numFmtId="0" fontId="7" fillId="0" borderId="0" xfId="0" applyFont="1" applyFill="1" applyBorder="1" applyAlignment="1" applyProtection="1">
      <alignment horizontal="right"/>
    </xf>
    <xf numFmtId="0" fontId="17" fillId="0" borderId="2" xfId="0" applyFont="1" applyFill="1" applyBorder="1"/>
    <xf numFmtId="0" fontId="17" fillId="0" borderId="8" xfId="0" applyFont="1" applyFill="1" applyBorder="1"/>
    <xf numFmtId="0" fontId="7" fillId="0" borderId="0" xfId="0" applyFont="1" applyFill="1" applyBorder="1"/>
    <xf numFmtId="0" fontId="6" fillId="0" borderId="9" xfId="0" applyFont="1" applyFill="1" applyBorder="1"/>
    <xf numFmtId="0" fontId="0" fillId="0" borderId="6" xfId="0" applyFill="1" applyBorder="1" applyAlignment="1"/>
    <xf numFmtId="0" fontId="3" fillId="2" borderId="0" xfId="0" applyFont="1" applyFill="1" applyBorder="1" applyAlignment="1" applyProtection="1"/>
    <xf numFmtId="0" fontId="16" fillId="2" borderId="0" xfId="0" applyFont="1" applyFill="1" applyBorder="1" applyAlignment="1" applyProtection="1"/>
    <xf numFmtId="0" fontId="21" fillId="2" borderId="0" xfId="0" applyFont="1" applyFill="1" applyBorder="1" applyAlignment="1" applyProtection="1"/>
    <xf numFmtId="0" fontId="4" fillId="2" borderId="0" xfId="0" applyFont="1" applyFill="1" applyBorder="1" applyAlignment="1" applyProtection="1"/>
    <xf numFmtId="0" fontId="7" fillId="2" borderId="0" xfId="0" applyFont="1" applyFill="1" applyBorder="1" applyAlignment="1" applyProtection="1"/>
    <xf numFmtId="0" fontId="4" fillId="2" borderId="0" xfId="0" applyFont="1" applyFill="1" applyAlignment="1" applyProtection="1"/>
    <xf numFmtId="0" fontId="10" fillId="0" borderId="0" xfId="0" applyFont="1" applyFill="1" applyBorder="1" applyProtection="1"/>
    <xf numFmtId="0" fontId="10" fillId="0" borderId="6" xfId="0" applyFont="1" applyFill="1" applyBorder="1" applyProtection="1"/>
    <xf numFmtId="0" fontId="7" fillId="0" borderId="1" xfId="0" applyFont="1" applyFill="1" applyBorder="1" applyAlignment="1" applyProtection="1">
      <alignment horizontal="right"/>
    </xf>
    <xf numFmtId="0" fontId="0" fillId="2" borderId="0" xfId="0" applyFill="1" applyAlignment="1">
      <alignment vertical="top"/>
    </xf>
    <xf numFmtId="0" fontId="4" fillId="2" borderId="0" xfId="0" applyFont="1" applyFill="1" applyAlignment="1">
      <alignment vertical="top" wrapText="1"/>
    </xf>
    <xf numFmtId="49" fontId="10" fillId="0" borderId="5" xfId="0" applyNumberFormat="1" applyFont="1" applyFill="1" applyBorder="1" applyProtection="1">
      <protection locked="0"/>
    </xf>
    <xf numFmtId="49" fontId="10" fillId="0" borderId="1" xfId="0" applyNumberFormat="1" applyFont="1" applyFill="1" applyBorder="1" applyProtection="1">
      <protection locked="0"/>
    </xf>
    <xf numFmtId="49" fontId="10" fillId="0" borderId="0" xfId="0" applyNumberFormat="1" applyFont="1" applyFill="1" applyBorder="1" applyProtection="1">
      <protection locked="0"/>
    </xf>
    <xf numFmtId="49" fontId="0" fillId="0" borderId="0" xfId="0" applyNumberFormat="1" applyFill="1" applyBorder="1" applyAlignment="1" applyProtection="1">
      <alignment horizontal="centerContinuous"/>
    </xf>
    <xf numFmtId="49" fontId="0" fillId="0" borderId="10" xfId="0" applyNumberFormat="1" applyFill="1" applyBorder="1" applyAlignment="1" applyProtection="1">
      <alignment horizontal="centerContinuous"/>
    </xf>
    <xf numFmtId="49" fontId="0" fillId="0" borderId="11" xfId="0" applyNumberFormat="1" applyFill="1" applyBorder="1" applyAlignment="1" applyProtection="1">
      <alignment horizontal="centerContinuous"/>
    </xf>
    <xf numFmtId="49" fontId="0" fillId="0" borderId="12" xfId="0" applyNumberFormat="1" applyFill="1" applyBorder="1" applyAlignment="1" applyProtection="1">
      <alignment horizontal="centerContinuous"/>
    </xf>
    <xf numFmtId="49" fontId="0" fillId="0" borderId="2" xfId="0" applyNumberFormat="1" applyFill="1" applyBorder="1" applyProtection="1"/>
    <xf numFmtId="49" fontId="0" fillId="0" borderId="3" xfId="0" applyNumberFormat="1" applyFill="1" applyBorder="1" applyProtection="1"/>
    <xf numFmtId="49" fontId="0" fillId="0" borderId="4" xfId="0" applyNumberFormat="1" applyFill="1" applyBorder="1" applyAlignment="1" applyProtection="1"/>
    <xf numFmtId="49" fontId="0" fillId="0" borderId="13" xfId="0" applyNumberFormat="1" applyFill="1" applyBorder="1" applyProtection="1"/>
    <xf numFmtId="49" fontId="0" fillId="0" borderId="14" xfId="0" applyNumberFormat="1" applyFill="1" applyBorder="1" applyAlignment="1" applyProtection="1"/>
    <xf numFmtId="49" fontId="0" fillId="0" borderId="14" xfId="0" applyNumberFormat="1" applyFill="1" applyBorder="1" applyProtection="1"/>
    <xf numFmtId="49" fontId="0" fillId="0" borderId="15" xfId="0" applyNumberFormat="1" applyFill="1" applyBorder="1" applyProtection="1"/>
    <xf numFmtId="49" fontId="0" fillId="0" borderId="1" xfId="0" applyNumberFormat="1" applyFill="1" applyBorder="1" applyProtection="1"/>
    <xf numFmtId="49" fontId="10" fillId="0" borderId="10" xfId="0" applyNumberFormat="1" applyFont="1" applyFill="1" applyBorder="1" applyProtection="1">
      <protection locked="0"/>
    </xf>
    <xf numFmtId="49" fontId="0" fillId="0" borderId="11" xfId="0" applyNumberFormat="1" applyFill="1" applyBorder="1" applyProtection="1"/>
    <xf numFmtId="49" fontId="0" fillId="0" borderId="12" xfId="0" applyNumberFormat="1" applyFill="1" applyBorder="1" applyProtection="1"/>
    <xf numFmtId="49" fontId="0" fillId="0" borderId="5" xfId="0" applyNumberFormat="1" applyFill="1" applyBorder="1" applyProtection="1"/>
    <xf numFmtId="49" fontId="0" fillId="0" borderId="6" xfId="0" applyNumberFormat="1" applyFill="1" applyBorder="1" applyProtection="1"/>
    <xf numFmtId="49" fontId="0" fillId="0" borderId="16" xfId="0" applyNumberFormat="1" applyFill="1" applyBorder="1" applyProtection="1"/>
    <xf numFmtId="49" fontId="0" fillId="0" borderId="17" xfId="0" applyNumberFormat="1" applyFill="1" applyBorder="1" applyProtection="1"/>
    <xf numFmtId="49" fontId="0" fillId="0" borderId="4" xfId="0" applyNumberFormat="1" applyFill="1" applyBorder="1" applyProtection="1"/>
    <xf numFmtId="49" fontId="10" fillId="0" borderId="18" xfId="0" applyNumberFormat="1" applyFont="1" applyFill="1" applyBorder="1" applyProtection="1">
      <protection locked="0"/>
    </xf>
    <xf numFmtId="49" fontId="0" fillId="0" borderId="19" xfId="0" applyNumberFormat="1" applyFill="1" applyBorder="1" applyProtection="1"/>
    <xf numFmtId="49" fontId="10" fillId="0" borderId="16" xfId="0" applyNumberFormat="1" applyFont="1" applyFill="1" applyBorder="1" applyProtection="1">
      <protection locked="0"/>
    </xf>
    <xf numFmtId="49" fontId="10" fillId="0" borderId="20" xfId="0" applyNumberFormat="1" applyFont="1" applyFill="1" applyBorder="1" applyProtection="1">
      <protection locked="0"/>
    </xf>
    <xf numFmtId="49" fontId="0" fillId="0" borderId="21" xfId="0" applyNumberFormat="1" applyFill="1" applyBorder="1" applyProtection="1"/>
    <xf numFmtId="49" fontId="0" fillId="0" borderId="22" xfId="0" applyNumberFormat="1" applyFill="1" applyBorder="1" applyProtection="1"/>
    <xf numFmtId="49" fontId="6" fillId="0" borderId="2" xfId="0" applyNumberFormat="1" applyFont="1" applyFill="1" applyBorder="1" applyProtection="1"/>
    <xf numFmtId="49" fontId="6" fillId="0" borderId="4" xfId="0" applyNumberFormat="1" applyFont="1" applyFill="1" applyBorder="1" applyProtection="1"/>
    <xf numFmtId="49" fontId="6" fillId="0" borderId="5" xfId="0" applyNumberFormat="1" applyFont="1" applyFill="1" applyBorder="1" applyProtection="1"/>
    <xf numFmtId="49" fontId="6" fillId="0" borderId="6" xfId="0" applyNumberFormat="1" applyFont="1" applyFill="1" applyBorder="1" applyProtection="1"/>
    <xf numFmtId="49" fontId="6" fillId="0" borderId="23" xfId="0" applyNumberFormat="1" applyFont="1" applyFill="1" applyBorder="1" applyProtection="1"/>
    <xf numFmtId="49" fontId="6" fillId="0" borderId="24" xfId="0" applyNumberFormat="1" applyFont="1" applyFill="1" applyBorder="1" applyProtection="1"/>
    <xf numFmtId="49" fontId="6" fillId="0" borderId="25" xfId="0" applyNumberFormat="1" applyFont="1" applyFill="1" applyBorder="1" applyProtection="1"/>
    <xf numFmtId="49" fontId="10" fillId="0" borderId="26" xfId="0" applyNumberFormat="1" applyFont="1" applyFill="1" applyBorder="1" applyProtection="1">
      <protection locked="0"/>
    </xf>
    <xf numFmtId="49" fontId="10" fillId="0" borderId="6" xfId="0" applyNumberFormat="1" applyFont="1" applyFill="1" applyBorder="1" applyProtection="1">
      <protection locked="0"/>
    </xf>
    <xf numFmtId="49" fontId="10" fillId="0" borderId="25" xfId="0" applyNumberFormat="1" applyFont="1" applyFill="1" applyBorder="1" applyProtection="1">
      <protection locked="0"/>
    </xf>
    <xf numFmtId="49" fontId="10" fillId="0" borderId="27" xfId="0" applyNumberFormat="1" applyFont="1" applyFill="1" applyBorder="1" applyProtection="1">
      <protection locked="0"/>
    </xf>
    <xf numFmtId="49" fontId="10" fillId="0" borderId="28" xfId="0" applyNumberFormat="1" applyFont="1" applyFill="1" applyBorder="1" applyProtection="1">
      <protection locked="0"/>
    </xf>
    <xf numFmtId="49" fontId="10" fillId="0" borderId="21" xfId="0" applyNumberFormat="1" applyFont="1" applyFill="1" applyBorder="1" applyProtection="1">
      <protection locked="0"/>
    </xf>
    <xf numFmtId="49" fontId="10" fillId="0" borderId="29" xfId="0" applyNumberFormat="1" applyFont="1" applyFill="1" applyBorder="1" applyProtection="1">
      <protection locked="0"/>
    </xf>
    <xf numFmtId="49" fontId="4" fillId="0" borderId="2" xfId="0" applyNumberFormat="1" applyFont="1" applyFill="1" applyBorder="1" applyProtection="1"/>
    <xf numFmtId="49" fontId="4" fillId="0" borderId="3" xfId="0" applyNumberFormat="1" applyFont="1" applyFill="1" applyBorder="1" applyProtection="1"/>
    <xf numFmtId="49" fontId="4" fillId="0" borderId="4" xfId="0" applyNumberFormat="1" applyFont="1" applyFill="1" applyBorder="1" applyProtection="1"/>
    <xf numFmtId="49" fontId="0" fillId="0" borderId="0" xfId="0" applyNumberFormat="1" applyFill="1" applyBorder="1" applyProtection="1"/>
    <xf numFmtId="49" fontId="0" fillId="0" borderId="7" xfId="0" applyNumberFormat="1" applyFill="1" applyBorder="1" applyProtection="1"/>
    <xf numFmtId="49" fontId="4" fillId="0" borderId="14" xfId="0" applyNumberFormat="1" applyFont="1" applyFill="1" applyBorder="1" applyProtection="1"/>
    <xf numFmtId="49" fontId="4" fillId="0" borderId="15" xfId="0" applyNumberFormat="1" applyFont="1" applyFill="1" applyBorder="1" applyProtection="1"/>
    <xf numFmtId="49" fontId="0" fillId="0" borderId="30" xfId="0" applyNumberFormat="1" applyFill="1" applyBorder="1" applyProtection="1"/>
    <xf numFmtId="49" fontId="0" fillId="0" borderId="31" xfId="0" applyNumberFormat="1" applyFill="1" applyBorder="1" applyProtection="1"/>
    <xf numFmtId="49" fontId="0" fillId="0" borderId="32" xfId="0" applyNumberFormat="1" applyFill="1" applyBorder="1" applyProtection="1"/>
    <xf numFmtId="49" fontId="6" fillId="0" borderId="0" xfId="0" applyNumberFormat="1" applyFont="1" applyFill="1" applyBorder="1" applyAlignment="1" applyProtection="1"/>
    <xf numFmtId="49" fontId="7" fillId="0" borderId="0" xfId="0" applyNumberFormat="1" applyFont="1" applyFill="1" applyBorder="1" applyAlignment="1" applyProtection="1">
      <alignment horizontal="centerContinuous"/>
    </xf>
    <xf numFmtId="49" fontId="6" fillId="0" borderId="0" xfId="0" applyNumberFormat="1" applyFont="1" applyFill="1" applyBorder="1" applyAlignment="1" applyProtection="1">
      <alignment horizontal="centerContinuous"/>
    </xf>
    <xf numFmtId="49" fontId="6" fillId="0" borderId="1" xfId="0" applyNumberFormat="1" applyFont="1" applyFill="1" applyBorder="1" applyAlignment="1" applyProtection="1"/>
    <xf numFmtId="49" fontId="6" fillId="0" borderId="6" xfId="0" applyNumberFormat="1" applyFont="1" applyFill="1" applyBorder="1" applyAlignment="1" applyProtection="1"/>
    <xf numFmtId="49" fontId="6" fillId="0" borderId="6" xfId="0" applyNumberFormat="1" applyFont="1" applyFill="1" applyBorder="1" applyAlignment="1" applyProtection="1">
      <alignment horizontal="centerContinuous"/>
    </xf>
    <xf numFmtId="49" fontId="23" fillId="0" borderId="5" xfId="0" applyNumberFormat="1" applyFont="1" applyFill="1" applyBorder="1" applyAlignment="1" applyProtection="1"/>
    <xf numFmtId="49" fontId="6" fillId="0" borderId="7" xfId="0" applyNumberFormat="1" applyFont="1" applyFill="1" applyBorder="1" applyAlignment="1" applyProtection="1"/>
    <xf numFmtId="49" fontId="6" fillId="0" borderId="5" xfId="0" applyNumberFormat="1" applyFont="1" applyFill="1" applyBorder="1" applyAlignment="1" applyProtection="1"/>
    <xf numFmtId="49" fontId="6" fillId="0" borderId="23" xfId="0" applyNumberFormat="1" applyFont="1" applyFill="1" applyBorder="1" applyAlignment="1" applyProtection="1">
      <alignment vertical="top" wrapText="1"/>
    </xf>
    <xf numFmtId="49" fontId="6" fillId="0" borderId="26" xfId="0" applyNumberFormat="1" applyFont="1" applyFill="1" applyBorder="1" applyAlignment="1" applyProtection="1">
      <alignment horizontal="center" vertical="top" wrapText="1"/>
      <protection locked="0"/>
    </xf>
    <xf numFmtId="49" fontId="6" fillId="0" borderId="26" xfId="0" applyNumberFormat="1" applyFont="1" applyFill="1" applyBorder="1" applyAlignment="1" applyProtection="1">
      <alignment vertical="top" wrapText="1"/>
      <protection locked="0"/>
    </xf>
    <xf numFmtId="49" fontId="6" fillId="0" borderId="6" xfId="0" applyNumberFormat="1" applyFont="1" applyFill="1" applyBorder="1" applyAlignment="1" applyProtection="1">
      <alignment vertical="top" wrapText="1"/>
      <protection locked="0"/>
    </xf>
    <xf numFmtId="49" fontId="22" fillId="0" borderId="5" xfId="0" applyNumberFormat="1" applyFont="1" applyFill="1" applyBorder="1" applyAlignment="1" applyProtection="1">
      <alignment vertical="top" wrapText="1"/>
      <protection locked="0"/>
    </xf>
    <xf numFmtId="49" fontId="22" fillId="0" borderId="5" xfId="0" applyNumberFormat="1" applyFont="1" applyFill="1" applyBorder="1" applyAlignment="1" applyProtection="1">
      <alignment horizontal="center" vertical="top" wrapText="1"/>
      <protection locked="0"/>
    </xf>
    <xf numFmtId="49" fontId="4" fillId="0" borderId="0" xfId="0" applyNumberFormat="1" applyFont="1" applyFill="1" applyBorder="1" applyAlignment="1" applyProtection="1">
      <alignment vertical="center"/>
    </xf>
    <xf numFmtId="49" fontId="4" fillId="0" borderId="0" xfId="0" applyNumberFormat="1" applyFont="1" applyFill="1" applyAlignment="1"/>
    <xf numFmtId="49" fontId="4" fillId="0" borderId="0" xfId="0" applyNumberFormat="1" applyFont="1" applyFill="1" applyBorder="1" applyAlignment="1" applyProtection="1">
      <alignment horizontal="centerContinuous" vertical="center"/>
    </xf>
    <xf numFmtId="49" fontId="6" fillId="0" borderId="5" xfId="0" applyNumberFormat="1" applyFont="1" applyFill="1" applyBorder="1" applyAlignment="1" applyProtection="1">
      <alignment vertical="top" wrapText="1"/>
      <protection locked="0"/>
    </xf>
    <xf numFmtId="0" fontId="18" fillId="2" borderId="0" xfId="0" applyFont="1" applyFill="1" applyBorder="1" applyAlignment="1" applyProtection="1"/>
    <xf numFmtId="0" fontId="7" fillId="0" borderId="21" xfId="0" applyFont="1" applyFill="1" applyBorder="1" applyProtection="1"/>
    <xf numFmtId="0" fontId="0" fillId="0" borderId="0" xfId="0" applyAlignment="1">
      <alignment horizontal="centerContinuous"/>
    </xf>
    <xf numFmtId="0" fontId="13" fillId="0" borderId="0" xfId="0" applyFont="1" applyFill="1" applyBorder="1" applyAlignment="1" applyProtection="1">
      <alignment horizontal="centerContinuous"/>
    </xf>
    <xf numFmtId="0" fontId="6" fillId="0" borderId="1" xfId="0" applyFont="1" applyFill="1" applyBorder="1"/>
    <xf numFmtId="49" fontId="6" fillId="0" borderId="13" xfId="0" applyNumberFormat="1" applyFont="1" applyFill="1" applyBorder="1" applyAlignment="1" applyProtection="1">
      <alignment horizontal="centerContinuous"/>
    </xf>
    <xf numFmtId="49" fontId="6" fillId="0" borderId="15" xfId="0" applyNumberFormat="1" applyFont="1" applyFill="1" applyBorder="1" applyAlignment="1" applyProtection="1">
      <alignment horizontal="centerContinuous"/>
    </xf>
    <xf numFmtId="49" fontId="6" fillId="0" borderId="17" xfId="0" applyNumberFormat="1" applyFont="1" applyFill="1" applyBorder="1" applyAlignment="1" applyProtection="1">
      <alignment horizontal="centerContinuous"/>
    </xf>
    <xf numFmtId="49" fontId="6" fillId="0" borderId="2" xfId="0" applyNumberFormat="1" applyFont="1" applyFill="1" applyBorder="1" applyAlignment="1" applyProtection="1">
      <alignment horizontal="centerContinuous"/>
    </xf>
    <xf numFmtId="49" fontId="6" fillId="0" borderId="4" xfId="0" applyNumberFormat="1" applyFont="1" applyFill="1" applyBorder="1" applyAlignment="1" applyProtection="1">
      <alignment horizontal="centerContinuous"/>
    </xf>
    <xf numFmtId="49" fontId="6" fillId="0" borderId="5" xfId="0" applyNumberFormat="1" applyFont="1" applyFill="1" applyBorder="1" applyAlignment="1" applyProtection="1">
      <alignment horizontal="centerContinuous"/>
    </xf>
    <xf numFmtId="49" fontId="6" fillId="0" borderId="23" xfId="0" applyNumberFormat="1" applyFont="1" applyFill="1" applyBorder="1" applyAlignment="1" applyProtection="1">
      <alignment horizontal="center"/>
    </xf>
    <xf numFmtId="49" fontId="6" fillId="0" borderId="3" xfId="0" applyNumberFormat="1" applyFont="1" applyFill="1" applyBorder="1" applyAlignment="1" applyProtection="1">
      <alignment horizontal="centerContinuous"/>
    </xf>
    <xf numFmtId="0" fontId="4" fillId="0" borderId="4" xfId="0" applyFont="1" applyBorder="1"/>
    <xf numFmtId="0" fontId="0" fillId="0" borderId="6" xfId="0" applyFill="1" applyBorder="1" applyAlignment="1">
      <alignment horizontal="left"/>
    </xf>
    <xf numFmtId="0" fontId="20" fillId="0" borderId="5" xfId="0" applyFont="1" applyFill="1" applyBorder="1" applyProtection="1">
      <protection locked="0"/>
    </xf>
    <xf numFmtId="49" fontId="6" fillId="0" borderId="8" xfId="0" applyNumberFormat="1" applyFont="1" applyFill="1" applyBorder="1" applyAlignment="1" applyProtection="1">
      <alignment horizontal="centerContinuous"/>
    </xf>
    <xf numFmtId="49" fontId="6" fillId="0" borderId="7" xfId="0" applyNumberFormat="1" applyFont="1" applyFill="1" applyBorder="1" applyAlignment="1" applyProtection="1">
      <alignment horizontal="centerContinuous"/>
    </xf>
    <xf numFmtId="49" fontId="6" fillId="0" borderId="17" xfId="0" applyNumberFormat="1" applyFont="1" applyFill="1" applyBorder="1" applyAlignment="1" applyProtection="1"/>
    <xf numFmtId="49" fontId="6" fillId="0" borderId="33" xfId="0" applyNumberFormat="1" applyFont="1" applyFill="1" applyBorder="1" applyAlignment="1" applyProtection="1">
      <alignment horizontal="centerContinuous"/>
    </xf>
    <xf numFmtId="49" fontId="6" fillId="0" borderId="30" xfId="0" applyNumberFormat="1" applyFont="1" applyFill="1" applyBorder="1" applyAlignment="1" applyProtection="1">
      <alignment horizontal="centerContinuous"/>
    </xf>
    <xf numFmtId="49" fontId="6" fillId="0" borderId="14" xfId="0" applyNumberFormat="1" applyFont="1" applyFill="1" applyBorder="1" applyAlignment="1" applyProtection="1">
      <alignment horizontal="centerContinuous"/>
    </xf>
    <xf numFmtId="49" fontId="6" fillId="0" borderId="34" xfId="0" applyNumberFormat="1" applyFont="1" applyFill="1" applyBorder="1" applyAlignment="1" applyProtection="1">
      <alignment horizontal="centerContinuous"/>
    </xf>
    <xf numFmtId="49" fontId="6" fillId="0" borderId="35" xfId="0" applyNumberFormat="1" applyFont="1" applyFill="1" applyBorder="1" applyAlignment="1" applyProtection="1">
      <alignment horizontal="centerContinuous"/>
    </xf>
    <xf numFmtId="49" fontId="6" fillId="0" borderId="33" xfId="0" applyNumberFormat="1" applyFont="1" applyFill="1" applyBorder="1" applyAlignment="1" applyProtection="1"/>
    <xf numFmtId="49" fontId="6" fillId="0" borderId="16" xfId="0" applyNumberFormat="1" applyFont="1" applyFill="1" applyBorder="1" applyAlignment="1" applyProtection="1"/>
    <xf numFmtId="49" fontId="4" fillId="0" borderId="23" xfId="0" applyNumberFormat="1" applyFont="1" applyFill="1" applyBorder="1" applyAlignment="1" applyProtection="1">
      <alignment horizontal="center" vertical="center" textRotation="255"/>
    </xf>
    <xf numFmtId="0" fontId="10" fillId="0" borderId="5" xfId="0" applyNumberFormat="1" applyFont="1" applyFill="1" applyBorder="1" applyProtection="1">
      <protection locked="0"/>
    </xf>
    <xf numFmtId="49" fontId="6" fillId="0" borderId="1" xfId="0" applyNumberFormat="1" applyFont="1" applyFill="1" applyBorder="1" applyAlignment="1" applyProtection="1">
      <alignment horizontal="centerContinuous" vertical="top" wrapText="1"/>
    </xf>
    <xf numFmtId="49" fontId="6" fillId="0" borderId="1" xfId="0" applyNumberFormat="1" applyFont="1" applyFill="1" applyBorder="1" applyAlignment="1" applyProtection="1">
      <alignment horizontal="centerContinuous" vertical="top" wrapText="1"/>
      <protection locked="0"/>
    </xf>
    <xf numFmtId="0" fontId="4" fillId="0" borderId="0" xfId="0" applyFont="1" applyFill="1" applyBorder="1" applyAlignment="1"/>
    <xf numFmtId="0" fontId="4" fillId="0" borderId="0" xfId="0" applyFont="1" applyFill="1"/>
    <xf numFmtId="0" fontId="0" fillId="2" borderId="36" xfId="0" applyFill="1" applyBorder="1"/>
    <xf numFmtId="0" fontId="4" fillId="2" borderId="36" xfId="0" applyFont="1" applyFill="1" applyBorder="1"/>
    <xf numFmtId="0" fontId="0" fillId="2" borderId="0" xfId="0" applyFill="1" applyBorder="1"/>
    <xf numFmtId="0" fontId="12" fillId="2" borderId="36" xfId="0" applyFont="1" applyFill="1" applyBorder="1"/>
    <xf numFmtId="0" fontId="12" fillId="2" borderId="0" xfId="0" applyFont="1" applyFill="1"/>
    <xf numFmtId="0" fontId="7" fillId="2" borderId="36" xfId="0" applyFont="1" applyFill="1" applyBorder="1"/>
    <xf numFmtId="0" fontId="0" fillId="2" borderId="0" xfId="0" applyFill="1" applyBorder="1" applyAlignment="1">
      <alignment horizontal="center"/>
    </xf>
    <xf numFmtId="0" fontId="7" fillId="2" borderId="0" xfId="0" applyFont="1" applyFill="1" applyBorder="1" applyProtection="1"/>
    <xf numFmtId="0" fontId="6" fillId="2" borderId="0" xfId="0" applyFont="1" applyFill="1" applyBorder="1" applyProtection="1"/>
    <xf numFmtId="0" fontId="4" fillId="2" borderId="0" xfId="0" applyFont="1" applyFill="1" applyBorder="1" applyProtection="1"/>
    <xf numFmtId="0" fontId="0" fillId="2" borderId="0" xfId="0" applyFill="1" applyBorder="1" applyProtection="1"/>
    <xf numFmtId="0" fontId="25" fillId="2" borderId="0" xfId="0" applyNumberFormat="1" applyFont="1" applyFill="1" applyBorder="1" applyAlignment="1" applyProtection="1">
      <alignment horizontal="left"/>
    </xf>
    <xf numFmtId="0" fontId="25" fillId="2" borderId="0" xfId="0" applyFont="1" applyFill="1" applyBorder="1" applyProtection="1"/>
    <xf numFmtId="0" fontId="25" fillId="2" borderId="0" xfId="0" applyFont="1" applyFill="1" applyBorder="1" applyAlignment="1" applyProtection="1">
      <alignment horizontal="left"/>
    </xf>
    <xf numFmtId="0" fontId="25" fillId="2" borderId="0" xfId="0" applyFont="1" applyFill="1" applyBorder="1" applyAlignment="1" applyProtection="1"/>
    <xf numFmtId="0" fontId="26" fillId="2" borderId="0" xfId="0" applyFont="1" applyFill="1" applyBorder="1" applyAlignment="1" applyProtection="1">
      <alignment horizontal="left"/>
    </xf>
    <xf numFmtId="0" fontId="25" fillId="2" borderId="0" xfId="0" applyFont="1" applyFill="1" applyBorder="1" applyAlignment="1">
      <alignment horizontal="left"/>
    </xf>
    <xf numFmtId="0" fontId="18" fillId="2" borderId="0" xfId="0" applyFont="1" applyFill="1" applyBorder="1" applyAlignment="1">
      <alignment horizontal="left"/>
    </xf>
    <xf numFmtId="0" fontId="19" fillId="2" borderId="0" xfId="0" applyNumberFormat="1" applyFont="1" applyFill="1" applyBorder="1" applyAlignment="1" applyProtection="1">
      <alignment horizontal="left"/>
    </xf>
    <xf numFmtId="0" fontId="18" fillId="2" borderId="0" xfId="0" applyFont="1" applyFill="1" applyBorder="1" applyAlignment="1" applyProtection="1">
      <alignment horizontal="left"/>
    </xf>
    <xf numFmtId="0" fontId="0" fillId="0" borderId="6" xfId="0" applyFill="1" applyBorder="1" applyAlignment="1">
      <alignment horizontal="centerContinuous"/>
    </xf>
    <xf numFmtId="14" fontId="0" fillId="0" borderId="6" xfId="0" applyNumberFormat="1" applyFill="1" applyBorder="1" applyAlignment="1">
      <alignment horizontal="centerContinuous"/>
    </xf>
    <xf numFmtId="167" fontId="10" fillId="0" borderId="5" xfId="0" applyNumberFormat="1" applyFont="1" applyFill="1" applyBorder="1" applyAlignment="1" applyProtection="1">
      <alignment horizontal="centerContinuous"/>
      <protection locked="0"/>
    </xf>
    <xf numFmtId="167" fontId="7" fillId="0" borderId="6" xfId="0" applyNumberFormat="1" applyFont="1" applyFill="1" applyBorder="1" applyAlignment="1">
      <alignment horizontal="centerContinuous"/>
    </xf>
    <xf numFmtId="167" fontId="0" fillId="0" borderId="1" xfId="0" applyNumberFormat="1" applyFill="1" applyBorder="1" applyAlignment="1" applyProtection="1">
      <alignment horizontal="centerContinuous"/>
    </xf>
    <xf numFmtId="167" fontId="0" fillId="0" borderId="6" xfId="0" applyNumberFormat="1" applyFill="1" applyBorder="1" applyAlignment="1" applyProtection="1">
      <alignment horizontal="centerContinuous"/>
    </xf>
    <xf numFmtId="49" fontId="6" fillId="0" borderId="1" xfId="0" applyNumberFormat="1" applyFont="1" applyFill="1" applyBorder="1" applyAlignment="1" applyProtection="1">
      <alignment horizontal="centerContinuous"/>
    </xf>
    <xf numFmtId="0" fontId="26" fillId="2" borderId="0" xfId="0" applyFont="1" applyFill="1" applyBorder="1" applyAlignment="1" applyProtection="1"/>
    <xf numFmtId="0" fontId="25" fillId="2" borderId="0" xfId="0" applyFont="1" applyFill="1"/>
    <xf numFmtId="0" fontId="18" fillId="2" borderId="0" xfId="0" applyFont="1" applyFill="1"/>
    <xf numFmtId="0" fontId="18" fillId="2" borderId="0" xfId="0" applyFont="1" applyFill="1" applyBorder="1"/>
    <xf numFmtId="0" fontId="18" fillId="2" borderId="0" xfId="0" applyFont="1" applyFill="1" applyBorder="1" applyAlignment="1">
      <alignment vertical="top"/>
    </xf>
    <xf numFmtId="0" fontId="25" fillId="2" borderId="0" xfId="0" applyFont="1" applyFill="1" applyBorder="1" applyAlignment="1">
      <alignment horizontal="left" vertical="top" wrapText="1"/>
    </xf>
    <xf numFmtId="0" fontId="19" fillId="2" borderId="0" xfId="0" applyFont="1" applyFill="1" applyBorder="1" applyProtection="1"/>
    <xf numFmtId="0" fontId="0" fillId="2" borderId="0" xfId="0" applyFill="1" applyAlignment="1">
      <alignment horizontal="center" vertical="top" wrapText="1"/>
    </xf>
    <xf numFmtId="0" fontId="0" fillId="0" borderId="37" xfId="0" applyFill="1" applyBorder="1" applyAlignment="1">
      <alignment horizontal="center" vertical="top" wrapText="1"/>
    </xf>
    <xf numFmtId="0" fontId="0" fillId="0" borderId="38" xfId="0" applyFill="1" applyBorder="1" applyAlignment="1">
      <alignment horizontal="center" vertical="top" wrapText="1"/>
    </xf>
    <xf numFmtId="0" fontId="0" fillId="0" borderId="39" xfId="0" applyFill="1" applyBorder="1" applyAlignment="1">
      <alignment horizontal="center" vertical="top" wrapText="1"/>
    </xf>
    <xf numFmtId="0" fontId="0" fillId="2" borderId="0" xfId="0" applyFill="1" applyAlignment="1">
      <alignment vertical="top" wrapText="1"/>
    </xf>
    <xf numFmtId="0" fontId="10" fillId="0" borderId="24" xfId="0" applyFont="1" applyFill="1" applyBorder="1" applyAlignment="1" applyProtection="1">
      <alignment vertical="top" wrapText="1"/>
      <protection locked="0"/>
    </xf>
    <xf numFmtId="0" fontId="10" fillId="0" borderId="23" xfId="0" applyFont="1" applyFill="1" applyBorder="1" applyAlignment="1" applyProtection="1">
      <alignment vertical="top" wrapText="1"/>
      <protection locked="0"/>
    </xf>
    <xf numFmtId="0" fontId="10" fillId="0" borderId="25" xfId="0" applyFont="1" applyFill="1" applyBorder="1" applyAlignment="1" applyProtection="1">
      <alignment vertical="top" wrapText="1"/>
      <protection locked="0"/>
    </xf>
    <xf numFmtId="0" fontId="10" fillId="0" borderId="40" xfId="0" applyFont="1" applyFill="1" applyBorder="1" applyAlignment="1" applyProtection="1">
      <alignment vertical="top" wrapText="1"/>
      <protection locked="0"/>
    </xf>
    <xf numFmtId="0" fontId="10" fillId="0" borderId="41" xfId="0" applyFont="1" applyFill="1" applyBorder="1" applyAlignment="1" applyProtection="1">
      <alignment vertical="top" wrapText="1"/>
      <protection locked="0"/>
    </xf>
    <xf numFmtId="0" fontId="10" fillId="0" borderId="42" xfId="0" applyFont="1" applyFill="1" applyBorder="1" applyAlignment="1" applyProtection="1">
      <alignment vertical="top" wrapText="1"/>
      <protection locked="0"/>
    </xf>
    <xf numFmtId="167" fontId="0" fillId="0" borderId="5" xfId="0" applyNumberFormat="1" applyFill="1" applyBorder="1" applyAlignment="1" applyProtection="1">
      <alignment horizontal="centerContinuous"/>
      <protection locked="0"/>
    </xf>
    <xf numFmtId="0" fontId="10" fillId="0" borderId="26" xfId="0" applyFont="1" applyFill="1" applyBorder="1" applyProtection="1">
      <protection locked="0"/>
    </xf>
    <xf numFmtId="49" fontId="22" fillId="0" borderId="26" xfId="0" applyNumberFormat="1" applyFont="1" applyFill="1" applyBorder="1" applyAlignment="1" applyProtection="1">
      <alignment vertical="top" wrapText="1"/>
      <protection locked="0"/>
    </xf>
    <xf numFmtId="0" fontId="22" fillId="0" borderId="0" xfId="0" applyFont="1" applyProtection="1"/>
    <xf numFmtId="0" fontId="6" fillId="0" borderId="3" xfId="0" applyFont="1" applyFill="1" applyBorder="1" applyProtection="1"/>
    <xf numFmtId="0" fontId="6" fillId="0" borderId="2" xfId="0" applyFont="1" applyFill="1" applyBorder="1" applyProtection="1"/>
    <xf numFmtId="0" fontId="6" fillId="0" borderId="3" xfId="0" applyFont="1" applyBorder="1"/>
    <xf numFmtId="0" fontId="6" fillId="0" borderId="4" xfId="0" applyFont="1" applyFill="1" applyBorder="1" applyProtection="1"/>
    <xf numFmtId="0" fontId="6" fillId="0" borderId="4" xfId="0" applyFont="1" applyBorder="1"/>
    <xf numFmtId="0" fontId="6" fillId="0" borderId="0" xfId="0" applyFont="1"/>
    <xf numFmtId="0" fontId="18" fillId="2" borderId="0" xfId="0" applyFont="1" applyFill="1" applyBorder="1" applyProtection="1"/>
    <xf numFmtId="14" fontId="10" fillId="0" borderId="1" xfId="0" applyNumberFormat="1" applyFont="1" applyFill="1" applyBorder="1" applyProtection="1">
      <protection locked="0"/>
    </xf>
    <xf numFmtId="0" fontId="4" fillId="0" borderId="0" xfId="0" applyFont="1" applyFill="1" applyBorder="1" applyAlignment="1" applyProtection="1">
      <alignment horizontal="right"/>
    </xf>
    <xf numFmtId="0" fontId="13" fillId="3" borderId="0" xfId="0" applyFont="1" applyFill="1" applyBorder="1" applyProtection="1"/>
    <xf numFmtId="0" fontId="27" fillId="2" borderId="0" xfId="0" applyFont="1" applyFill="1" applyBorder="1" applyAlignment="1" applyProtection="1">
      <alignment horizontal="left"/>
    </xf>
    <xf numFmtId="0" fontId="7" fillId="3" borderId="0" xfId="0" applyFont="1" applyFill="1" applyBorder="1" applyProtection="1"/>
    <xf numFmtId="0" fontId="13" fillId="0" borderId="0" xfId="0" applyFont="1" applyAlignment="1">
      <alignment horizontal="centerContinuous"/>
    </xf>
    <xf numFmtId="0" fontId="27" fillId="2" borderId="0" xfId="0" applyFont="1" applyFill="1"/>
    <xf numFmtId="0" fontId="27" fillId="2" borderId="0" xfId="0" applyFont="1" applyFill="1" applyBorder="1" applyProtection="1"/>
    <xf numFmtId="0" fontId="8" fillId="0" borderId="0" xfId="0" applyFont="1" applyFill="1" applyBorder="1" applyProtection="1"/>
    <xf numFmtId="0" fontId="19" fillId="2" borderId="0" xfId="0" applyFont="1" applyFill="1" applyBorder="1" applyAlignment="1" applyProtection="1"/>
    <xf numFmtId="0" fontId="22" fillId="0" borderId="3" xfId="0" applyFont="1" applyFill="1" applyBorder="1" applyProtection="1">
      <protection locked="0"/>
    </xf>
    <xf numFmtId="49" fontId="19" fillId="2" borderId="0" xfId="0" quotePrefix="1" applyNumberFormat="1" applyFont="1" applyFill="1" applyBorder="1" applyProtection="1"/>
    <xf numFmtId="0" fontId="19" fillId="2" borderId="0" xfId="0" quotePrefix="1" applyFont="1" applyFill="1" applyBorder="1" applyProtection="1"/>
    <xf numFmtId="0" fontId="18" fillId="2" borderId="0" xfId="0" applyFont="1" applyFill="1" applyBorder="1" applyProtection="1">
      <protection locked="0"/>
    </xf>
    <xf numFmtId="0" fontId="19" fillId="2" borderId="0" xfId="0" applyFont="1" applyFill="1" applyBorder="1"/>
    <xf numFmtId="0" fontId="18" fillId="2" borderId="0" xfId="0" applyFont="1" applyFill="1" applyAlignment="1">
      <alignment horizontal="center" vertical="top" wrapText="1"/>
    </xf>
    <xf numFmtId="0" fontId="18" fillId="2" borderId="0" xfId="0" applyFont="1" applyFill="1" applyAlignment="1">
      <alignment vertical="top" wrapText="1"/>
    </xf>
    <xf numFmtId="0" fontId="26" fillId="2" borderId="0" xfId="0" applyFont="1" applyFill="1" applyBorder="1" applyAlignment="1" applyProtection="1">
      <alignment horizontal="left"/>
      <protection locked="0"/>
    </xf>
    <xf numFmtId="0" fontId="18" fillId="2" borderId="0" xfId="0" quotePrefix="1" applyFont="1" applyFill="1" applyBorder="1" applyProtection="1"/>
    <xf numFmtId="167" fontId="10" fillId="0" borderId="0" xfId="0" applyNumberFormat="1" applyFont="1" applyFill="1" applyBorder="1" applyAlignment="1" applyProtection="1">
      <alignment horizontal="centerContinuous"/>
      <protection locked="0"/>
    </xf>
    <xf numFmtId="167" fontId="7" fillId="0" borderId="0" xfId="0" applyNumberFormat="1" applyFont="1" applyFill="1" applyBorder="1" applyAlignment="1">
      <alignment horizontal="centerContinuous"/>
    </xf>
    <xf numFmtId="0" fontId="7" fillId="2" borderId="0" xfId="0" applyFont="1" applyFill="1" applyBorder="1"/>
    <xf numFmtId="14" fontId="6" fillId="0" borderId="1" xfId="0" applyNumberFormat="1" applyFont="1" applyFill="1" applyBorder="1" applyAlignment="1" applyProtection="1">
      <alignment horizontal="centerContinuous"/>
    </xf>
    <xf numFmtId="49" fontId="20" fillId="0" borderId="8" xfId="0" applyNumberFormat="1" applyFont="1" applyFill="1" applyBorder="1" applyAlignment="1" applyProtection="1">
      <protection locked="0"/>
    </xf>
    <xf numFmtId="49" fontId="20" fillId="0" borderId="5" xfId="0" applyNumberFormat="1" applyFont="1" applyFill="1" applyBorder="1" applyAlignment="1" applyProtection="1">
      <protection locked="0"/>
    </xf>
    <xf numFmtId="0" fontId="3" fillId="2" borderId="0" xfId="0" applyFont="1" applyFill="1" applyAlignment="1" applyProtection="1"/>
    <xf numFmtId="49" fontId="20" fillId="0" borderId="8" xfId="0" applyNumberFormat="1" applyFont="1" applyFill="1" applyBorder="1" applyAlignment="1" applyProtection="1">
      <alignment vertical="top"/>
      <protection locked="0"/>
    </xf>
    <xf numFmtId="49" fontId="20" fillId="0" borderId="8" xfId="0" applyNumberFormat="1" applyFont="1" applyFill="1" applyBorder="1" applyAlignment="1" applyProtection="1">
      <alignment vertical="center"/>
      <protection locked="0"/>
    </xf>
    <xf numFmtId="0" fontId="6" fillId="0" borderId="2" xfId="0" applyFont="1" applyFill="1" applyBorder="1"/>
    <xf numFmtId="0" fontId="6" fillId="0" borderId="3" xfId="0" applyFont="1" applyFill="1" applyBorder="1"/>
    <xf numFmtId="0" fontId="6" fillId="0" borderId="5" xfId="0" applyFont="1" applyFill="1" applyBorder="1"/>
    <xf numFmtId="49" fontId="4" fillId="0" borderId="2" xfId="0" applyNumberFormat="1" applyFont="1" applyFill="1" applyBorder="1" applyAlignment="1" applyProtection="1">
      <alignment horizontal="centerContinuous"/>
    </xf>
    <xf numFmtId="49" fontId="4" fillId="0" borderId="4" xfId="0" applyNumberFormat="1" applyFont="1" applyFill="1" applyBorder="1" applyAlignment="1" applyProtection="1">
      <alignment horizontal="centerContinuous"/>
    </xf>
    <xf numFmtId="49" fontId="4" fillId="0" borderId="8" xfId="0" applyNumberFormat="1" applyFont="1" applyFill="1" applyBorder="1" applyAlignment="1" applyProtection="1">
      <alignment horizontal="centerContinuous"/>
    </xf>
    <xf numFmtId="49" fontId="4" fillId="0" borderId="7" xfId="0" applyNumberFormat="1" applyFont="1" applyFill="1" applyBorder="1" applyAlignment="1" applyProtection="1">
      <alignment horizontal="centerContinuous"/>
    </xf>
    <xf numFmtId="0" fontId="16" fillId="0" borderId="37" xfId="0" applyFont="1" applyFill="1" applyBorder="1" applyAlignment="1">
      <alignment horizontal="center" vertical="top" wrapText="1"/>
    </xf>
    <xf numFmtId="0" fontId="6" fillId="0" borderId="0" xfId="0" applyFont="1" applyFill="1" applyBorder="1"/>
    <xf numFmtId="0" fontId="6" fillId="0" borderId="4" xfId="0" applyFont="1" applyFill="1" applyBorder="1"/>
    <xf numFmtId="49" fontId="20" fillId="0" borderId="5" xfId="0" applyNumberFormat="1" applyFont="1" applyFill="1" applyBorder="1" applyProtection="1">
      <protection locked="0"/>
    </xf>
    <xf numFmtId="0" fontId="6" fillId="0" borderId="6" xfId="0" applyFont="1" applyFill="1" applyBorder="1"/>
    <xf numFmtId="14" fontId="20" fillId="0" borderId="5" xfId="0" applyNumberFormat="1" applyFont="1" applyFill="1" applyBorder="1" applyAlignment="1" applyProtection="1">
      <alignment horizontal="centerContinuous"/>
      <protection locked="0"/>
    </xf>
    <xf numFmtId="0" fontId="6" fillId="0" borderId="1" xfId="0" applyFont="1" applyFill="1" applyBorder="1" applyAlignment="1">
      <alignment horizontal="centerContinuous"/>
    </xf>
    <xf numFmtId="166" fontId="20" fillId="0" borderId="5" xfId="0" applyNumberFormat="1" applyFont="1" applyFill="1" applyBorder="1" applyProtection="1">
      <protection locked="0"/>
    </xf>
    <xf numFmtId="0" fontId="6" fillId="0" borderId="8" xfId="0" applyFont="1" applyFill="1" applyBorder="1"/>
    <xf numFmtId="0" fontId="6" fillId="0" borderId="7" xfId="0" applyFont="1" applyFill="1" applyBorder="1"/>
    <xf numFmtId="0" fontId="29" fillId="0" borderId="0" xfId="0" applyFont="1" applyFill="1" applyBorder="1"/>
    <xf numFmtId="0" fontId="16" fillId="0" borderId="1" xfId="0" applyFont="1" applyFill="1" applyBorder="1"/>
    <xf numFmtId="0" fontId="6" fillId="0" borderId="1" xfId="0" applyFont="1" applyFill="1" applyBorder="1" applyProtection="1"/>
    <xf numFmtId="0" fontId="6" fillId="0" borderId="6" xfId="0" applyFont="1" applyFill="1" applyBorder="1" applyProtection="1"/>
    <xf numFmtId="14" fontId="6" fillId="0" borderId="1" xfId="0" applyNumberFormat="1" applyFont="1" applyFill="1" applyBorder="1" applyAlignment="1">
      <alignment horizontal="centerContinuous"/>
    </xf>
    <xf numFmtId="0" fontId="20" fillId="0" borderId="0" xfId="0" applyFont="1" applyProtection="1"/>
    <xf numFmtId="49" fontId="20" fillId="0" borderId="0" xfId="0" applyNumberFormat="1" applyFont="1" applyFill="1" applyBorder="1" applyAlignment="1" applyProtection="1">
      <alignment vertical="top"/>
    </xf>
    <xf numFmtId="49" fontId="6" fillId="0" borderId="0" xfId="0" applyNumberFormat="1" applyFont="1" applyFill="1" applyBorder="1" applyAlignment="1" applyProtection="1">
      <alignment horizontal="centerContinuous" vertical="top"/>
    </xf>
    <xf numFmtId="49" fontId="20" fillId="0" borderId="0" xfId="0" applyNumberFormat="1" applyFont="1" applyFill="1" applyAlignment="1" applyProtection="1">
      <alignment horizontal="centerContinuous"/>
    </xf>
    <xf numFmtId="49" fontId="20" fillId="0" borderId="0" xfId="0" applyNumberFormat="1" applyFont="1" applyFill="1" applyBorder="1" applyAlignment="1" applyProtection="1">
      <alignment horizontal="centerContinuous" vertical="top"/>
    </xf>
    <xf numFmtId="49" fontId="20" fillId="0" borderId="0" xfId="0" applyNumberFormat="1" applyFont="1" applyFill="1" applyBorder="1" applyAlignment="1" applyProtection="1">
      <alignment horizontal="center" vertical="top"/>
    </xf>
    <xf numFmtId="49" fontId="20" fillId="0" borderId="1" xfId="0" applyNumberFormat="1" applyFont="1" applyFill="1" applyBorder="1" applyAlignment="1" applyProtection="1">
      <alignment horizontal="center"/>
    </xf>
    <xf numFmtId="49" fontId="20" fillId="0" borderId="1" xfId="0" applyNumberFormat="1" applyFont="1" applyFill="1" applyBorder="1" applyAlignment="1" applyProtection="1">
      <alignment vertical="top"/>
    </xf>
    <xf numFmtId="49" fontId="20" fillId="0" borderId="7" xfId="0" applyNumberFormat="1" applyFont="1" applyFill="1" applyBorder="1" applyAlignment="1" applyProtection="1">
      <alignment vertical="top"/>
    </xf>
    <xf numFmtId="49" fontId="6" fillId="0" borderId="23"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textRotation="255"/>
    </xf>
    <xf numFmtId="0" fontId="6" fillId="2" borderId="0" xfId="0" applyFont="1" applyFill="1" applyBorder="1" applyAlignment="1" applyProtection="1">
      <alignment vertical="top" wrapText="1"/>
    </xf>
    <xf numFmtId="49" fontId="20" fillId="0" borderId="5" xfId="0" applyNumberFormat="1" applyFont="1" applyFill="1" applyBorder="1" applyAlignment="1" applyProtection="1">
      <alignment vertical="top" wrapText="1"/>
      <protection locked="0"/>
    </xf>
    <xf numFmtId="49" fontId="20" fillId="0" borderId="5" xfId="0" applyNumberFormat="1" applyFont="1" applyFill="1" applyBorder="1" applyAlignment="1" applyProtection="1">
      <alignment horizontal="center" vertical="top" wrapText="1"/>
      <protection locked="0"/>
    </xf>
    <xf numFmtId="49" fontId="20" fillId="0" borderId="26" xfId="0" applyNumberFormat="1" applyFont="1" applyFill="1" applyBorder="1" applyAlignment="1" applyProtection="1">
      <alignment vertical="top" wrapText="1"/>
      <protection locked="0"/>
    </xf>
    <xf numFmtId="0" fontId="19" fillId="2" borderId="0" xfId="0" applyFont="1" applyFill="1" applyBorder="1" applyAlignment="1">
      <alignment vertical="top"/>
    </xf>
    <xf numFmtId="0" fontId="6" fillId="2" borderId="0" xfId="0" applyFont="1" applyFill="1" applyAlignment="1">
      <alignment vertical="top"/>
    </xf>
    <xf numFmtId="49" fontId="6" fillId="0" borderId="0" xfId="0" applyNumberFormat="1" applyFont="1" applyFill="1" applyBorder="1" applyProtection="1"/>
    <xf numFmtId="0" fontId="20" fillId="0" borderId="5" xfId="0" applyNumberFormat="1" applyFont="1" applyFill="1" applyBorder="1" applyAlignment="1" applyProtection="1">
      <alignment vertical="top"/>
      <protection locked="0"/>
    </xf>
    <xf numFmtId="0" fontId="16" fillId="0" borderId="0" xfId="0" applyFont="1" applyFill="1" applyBorder="1"/>
    <xf numFmtId="0" fontId="16" fillId="0" borderId="2" xfId="0" applyFont="1" applyFill="1" applyBorder="1"/>
    <xf numFmtId="0" fontId="16" fillId="0" borderId="3" xfId="0" applyFont="1" applyFill="1" applyBorder="1"/>
    <xf numFmtId="0" fontId="16" fillId="0" borderId="4" xfId="0" applyFont="1" applyFill="1" applyBorder="1"/>
    <xf numFmtId="0" fontId="30" fillId="0" borderId="5" xfId="0" applyFont="1" applyFill="1" applyBorder="1" applyProtection="1">
      <protection locked="0"/>
    </xf>
    <xf numFmtId="0" fontId="16" fillId="0" borderId="6" xfId="0" applyFont="1" applyFill="1" applyBorder="1"/>
    <xf numFmtId="0" fontId="31" fillId="0" borderId="1" xfId="0" applyFont="1" applyFill="1" applyBorder="1" applyProtection="1"/>
    <xf numFmtId="0" fontId="7" fillId="0" borderId="0" xfId="0" applyFont="1"/>
    <xf numFmtId="0" fontId="32" fillId="0" borderId="0" xfId="0" applyFont="1" applyFill="1" applyBorder="1" applyAlignment="1" applyProtection="1"/>
    <xf numFmtId="0" fontId="7" fillId="0" borderId="1" xfId="0" applyNumberFormat="1" applyFont="1" applyFill="1" applyBorder="1" applyProtection="1"/>
    <xf numFmtId="0" fontId="7" fillId="0" borderId="1" xfId="0" applyFont="1" applyFill="1" applyBorder="1" applyProtection="1">
      <protection locked="0"/>
    </xf>
    <xf numFmtId="166" fontId="7" fillId="0" borderId="1" xfId="0" applyNumberFormat="1" applyFont="1" applyFill="1" applyBorder="1" applyProtection="1"/>
    <xf numFmtId="167" fontId="7" fillId="0" borderId="1" xfId="0" applyNumberFormat="1" applyFont="1" applyFill="1" applyBorder="1" applyAlignment="1" applyProtection="1">
      <alignment horizontal="centerContinuous"/>
    </xf>
    <xf numFmtId="0" fontId="7" fillId="0" borderId="0" xfId="0" applyFont="1" applyFill="1" applyBorder="1" applyProtection="1">
      <protection locked="0"/>
    </xf>
    <xf numFmtId="167" fontId="7" fillId="0" borderId="0" xfId="0" applyNumberFormat="1" applyFont="1" applyFill="1" applyBorder="1" applyAlignment="1" applyProtection="1">
      <alignment horizontal="centerContinuous"/>
    </xf>
    <xf numFmtId="0" fontId="7" fillId="0" borderId="21" xfId="0" applyFont="1" applyFill="1" applyBorder="1" applyProtection="1">
      <protection locked="0"/>
    </xf>
    <xf numFmtId="14" fontId="10" fillId="0" borderId="0" xfId="0" applyNumberFormat="1" applyFont="1" applyFill="1" applyBorder="1" applyProtection="1">
      <protection locked="0"/>
    </xf>
    <xf numFmtId="0" fontId="18" fillId="2" borderId="1" xfId="0" applyFont="1" applyFill="1" applyBorder="1" applyProtection="1"/>
    <xf numFmtId="0" fontId="18" fillId="2" borderId="1" xfId="0" applyFont="1" applyFill="1" applyBorder="1" applyAlignment="1" applyProtection="1">
      <alignment horizontal="left"/>
    </xf>
    <xf numFmtId="0" fontId="7" fillId="0" borderId="11" xfId="0" applyFont="1" applyFill="1" applyBorder="1" applyProtection="1"/>
    <xf numFmtId="0" fontId="18" fillId="2" borderId="11" xfId="0" applyFont="1" applyFill="1" applyBorder="1" applyProtection="1"/>
    <xf numFmtId="0" fontId="18" fillId="2" borderId="11" xfId="0" applyFont="1" applyFill="1" applyBorder="1" applyAlignment="1" applyProtection="1">
      <alignment horizontal="left"/>
    </xf>
    <xf numFmtId="0" fontId="33" fillId="0" borderId="0" xfId="0" applyFont="1" applyFill="1" applyBorder="1" applyProtection="1"/>
    <xf numFmtId="0" fontId="33" fillId="0" borderId="0" xfId="0" applyFont="1" applyFill="1" applyBorder="1" applyAlignment="1" applyProtection="1">
      <alignment horizontal="right"/>
    </xf>
    <xf numFmtId="0" fontId="7" fillId="0" borderId="14" xfId="0" applyFont="1" applyFill="1" applyBorder="1" applyProtection="1"/>
    <xf numFmtId="0" fontId="7" fillId="0" borderId="15" xfId="0" applyFont="1" applyFill="1" applyBorder="1" applyProtection="1"/>
    <xf numFmtId="0" fontId="10" fillId="0" borderId="16" xfId="0" applyFont="1" applyFill="1" applyBorder="1" applyProtection="1">
      <protection locked="0"/>
    </xf>
    <xf numFmtId="0" fontId="7" fillId="0" borderId="17" xfId="0" applyFont="1" applyFill="1" applyBorder="1" applyProtection="1"/>
    <xf numFmtId="0" fontId="7" fillId="0" borderId="22" xfId="0" applyFont="1" applyFill="1" applyBorder="1" applyProtection="1"/>
    <xf numFmtId="0" fontId="7" fillId="0" borderId="43" xfId="0" applyFont="1" applyFill="1" applyBorder="1" applyProtection="1"/>
    <xf numFmtId="0" fontId="7" fillId="0" borderId="32" xfId="0" applyFont="1" applyFill="1" applyBorder="1" applyProtection="1"/>
    <xf numFmtId="0" fontId="7" fillId="0" borderId="16" xfId="0" applyFont="1" applyFill="1" applyBorder="1" applyProtection="1"/>
    <xf numFmtId="0" fontId="7" fillId="0" borderId="20" xfId="0" applyFont="1" applyFill="1" applyBorder="1" applyProtection="1"/>
    <xf numFmtId="0" fontId="7" fillId="0" borderId="44" xfId="0" applyFont="1" applyFill="1" applyBorder="1" applyProtection="1"/>
    <xf numFmtId="0" fontId="7" fillId="0" borderId="45" xfId="0" applyFont="1" applyFill="1" applyBorder="1" applyProtection="1"/>
    <xf numFmtId="0" fontId="7" fillId="0" borderId="46" xfId="0" applyFont="1" applyFill="1" applyBorder="1" applyProtection="1"/>
    <xf numFmtId="0" fontId="10" fillId="0" borderId="47" xfId="0" applyFont="1" applyFill="1" applyBorder="1" applyProtection="1">
      <protection locked="0"/>
    </xf>
    <xf numFmtId="0" fontId="7" fillId="0" borderId="48" xfId="0" applyFont="1" applyFill="1" applyBorder="1" applyProtection="1"/>
    <xf numFmtId="0" fontId="7" fillId="0" borderId="47" xfId="0" applyFont="1" applyFill="1" applyBorder="1" applyProtection="1"/>
    <xf numFmtId="0" fontId="33" fillId="0" borderId="31" xfId="0" applyFont="1" applyFill="1" applyBorder="1" applyProtection="1">
      <protection locked="0"/>
    </xf>
    <xf numFmtId="0" fontId="33" fillId="0" borderId="43" xfId="0" applyFont="1" applyFill="1" applyBorder="1" applyProtection="1"/>
    <xf numFmtId="0" fontId="33" fillId="0" borderId="13" xfId="0" applyFont="1" applyFill="1" applyBorder="1" applyProtection="1">
      <protection locked="0"/>
    </xf>
    <xf numFmtId="0" fontId="29" fillId="0" borderId="33" xfId="0" applyFont="1" applyFill="1" applyBorder="1" applyProtection="1">
      <protection locked="0"/>
    </xf>
    <xf numFmtId="0" fontId="33" fillId="0" borderId="47" xfId="0" applyFont="1" applyFill="1" applyBorder="1" applyProtection="1">
      <protection locked="0"/>
    </xf>
    <xf numFmtId="0" fontId="29" fillId="0" borderId="47" xfId="0" applyFont="1" applyFill="1" applyBorder="1" applyProtection="1">
      <protection locked="0"/>
    </xf>
    <xf numFmtId="0" fontId="7" fillId="0" borderId="49" xfId="0" applyFont="1" applyFill="1" applyBorder="1" applyProtection="1"/>
    <xf numFmtId="49" fontId="20" fillId="0" borderId="0" xfId="0" applyNumberFormat="1" applyFont="1" applyFill="1" applyBorder="1" applyAlignment="1" applyProtection="1">
      <alignment horizontal="center"/>
    </xf>
    <xf numFmtId="49" fontId="20" fillId="0" borderId="1" xfId="0" applyNumberFormat="1" applyFont="1" applyFill="1" applyBorder="1" applyAlignment="1" applyProtection="1">
      <alignment horizontal="center" vertical="top"/>
    </xf>
    <xf numFmtId="49" fontId="6" fillId="0" borderId="2" xfId="0" applyNumberFormat="1" applyFont="1" applyFill="1" applyBorder="1" applyAlignment="1" applyProtection="1"/>
    <xf numFmtId="49" fontId="6" fillId="0" borderId="3" xfId="0" applyNumberFormat="1" applyFont="1" applyFill="1" applyBorder="1" applyAlignment="1" applyProtection="1"/>
    <xf numFmtId="49" fontId="6" fillId="0" borderId="4" xfId="0" applyNumberFormat="1" applyFont="1" applyFill="1" applyBorder="1" applyAlignment="1" applyProtection="1"/>
    <xf numFmtId="0" fontId="20" fillId="0" borderId="5" xfId="0" applyNumberFormat="1" applyFont="1" applyFill="1" applyBorder="1" applyAlignment="1" applyProtection="1">
      <protection locked="0"/>
    </xf>
    <xf numFmtId="14" fontId="20" fillId="0" borderId="6" xfId="0" applyNumberFormat="1" applyFont="1" applyFill="1" applyBorder="1" applyAlignment="1" applyProtection="1">
      <alignment horizontal="centerContinuous"/>
    </xf>
    <xf numFmtId="0" fontId="6" fillId="0" borderId="1" xfId="0" applyFont="1" applyFill="1" applyBorder="1" applyProtection="1">
      <protection locked="0"/>
    </xf>
    <xf numFmtId="0" fontId="16" fillId="0" borderId="0" xfId="0" applyFont="1" applyFill="1"/>
    <xf numFmtId="0" fontId="16" fillId="0" borderId="9" xfId="0" applyFont="1" applyFill="1" applyBorder="1"/>
    <xf numFmtId="0" fontId="24" fillId="0" borderId="37" xfId="0" applyFont="1" applyFill="1" applyBorder="1" applyAlignment="1">
      <alignment horizontal="center" vertical="top" wrapText="1"/>
    </xf>
    <xf numFmtId="0" fontId="24" fillId="0" borderId="38" xfId="0" applyFont="1" applyFill="1" applyBorder="1" applyAlignment="1">
      <alignment horizontal="center" vertical="top" wrapText="1"/>
    </xf>
    <xf numFmtId="0" fontId="24" fillId="0" borderId="39" xfId="0" applyFont="1" applyFill="1" applyBorder="1" applyAlignment="1">
      <alignment horizontal="center" vertical="top" wrapText="1"/>
    </xf>
    <xf numFmtId="0" fontId="0" fillId="0" borderId="1" xfId="0" applyFill="1" applyBorder="1" applyProtection="1">
      <protection locked="0"/>
    </xf>
    <xf numFmtId="0" fontId="16" fillId="0" borderId="7" xfId="0" applyFont="1" applyFill="1" applyBorder="1"/>
    <xf numFmtId="49" fontId="6" fillId="0" borderId="2" xfId="0" applyNumberFormat="1" applyFont="1" applyFill="1" applyBorder="1" applyAlignment="1" applyProtection="1">
      <alignment vertical="center"/>
    </xf>
    <xf numFmtId="49" fontId="6" fillId="0" borderId="3" xfId="0" applyNumberFormat="1" applyFont="1" applyFill="1" applyBorder="1" applyAlignment="1" applyProtection="1">
      <alignment vertical="center"/>
    </xf>
    <xf numFmtId="49" fontId="6" fillId="0" borderId="4" xfId="0" applyNumberFormat="1" applyFont="1" applyFill="1" applyBorder="1" applyAlignment="1" applyProtection="1">
      <alignment vertical="center"/>
    </xf>
    <xf numFmtId="49" fontId="6" fillId="0" borderId="9" xfId="0" applyNumberFormat="1" applyFont="1" applyFill="1" applyBorder="1" applyAlignment="1" applyProtection="1">
      <alignment vertical="center"/>
    </xf>
    <xf numFmtId="49" fontId="6" fillId="0" borderId="5" xfId="0" applyNumberFormat="1" applyFont="1" applyFill="1" applyBorder="1" applyAlignment="1" applyProtection="1">
      <alignment vertical="center"/>
    </xf>
    <xf numFmtId="49" fontId="6" fillId="0" borderId="1" xfId="0" applyNumberFormat="1" applyFont="1" applyFill="1" applyBorder="1" applyAlignment="1" applyProtection="1">
      <alignment vertical="center"/>
    </xf>
    <xf numFmtId="49" fontId="6" fillId="0" borderId="6" xfId="0" applyNumberFormat="1" applyFont="1" applyFill="1" applyBorder="1" applyAlignment="1" applyProtection="1">
      <alignment vertical="center"/>
    </xf>
    <xf numFmtId="49" fontId="20" fillId="0" borderId="5" xfId="0" applyNumberFormat="1" applyFont="1" applyFill="1" applyBorder="1" applyAlignment="1" applyProtection="1">
      <alignment vertical="center"/>
      <protection locked="0"/>
    </xf>
    <xf numFmtId="14" fontId="20" fillId="0" borderId="5" xfId="0" applyNumberFormat="1" applyFont="1" applyFill="1" applyBorder="1" applyAlignment="1" applyProtection="1">
      <alignment horizontal="centerContinuous" vertical="center"/>
      <protection locked="0"/>
    </xf>
    <xf numFmtId="49" fontId="6" fillId="0" borderId="6" xfId="0" applyNumberFormat="1" applyFont="1" applyFill="1" applyBorder="1" applyAlignment="1" applyProtection="1">
      <alignment horizontal="centerContinuous" vertical="center"/>
    </xf>
    <xf numFmtId="49" fontId="6" fillId="0" borderId="26" xfId="0" applyNumberFormat="1" applyFont="1" applyFill="1" applyBorder="1" applyAlignment="1" applyProtection="1">
      <alignment vertical="center"/>
    </xf>
    <xf numFmtId="49" fontId="6" fillId="0" borderId="2" xfId="0" applyNumberFormat="1" applyFont="1" applyFill="1" applyBorder="1"/>
    <xf numFmtId="14" fontId="20" fillId="0" borderId="26" xfId="0" applyNumberFormat="1" applyFont="1" applyFill="1" applyBorder="1" applyAlignment="1" applyProtection="1">
      <alignment horizontal="centerContinuous" vertical="center"/>
      <protection locked="0"/>
    </xf>
    <xf numFmtId="0" fontId="20" fillId="0" borderId="26" xfId="0" applyNumberFormat="1" applyFont="1" applyFill="1" applyBorder="1" applyAlignment="1" applyProtection="1">
      <alignment vertical="center"/>
      <protection locked="0"/>
    </xf>
    <xf numFmtId="49" fontId="20" fillId="0" borderId="5" xfId="0" applyNumberFormat="1" applyFont="1" applyFill="1" applyBorder="1" applyAlignment="1" applyProtection="1">
      <alignment horizontal="centerContinuous" vertical="center"/>
      <protection locked="0"/>
    </xf>
    <xf numFmtId="49" fontId="6" fillId="0" borderId="1" xfId="0" applyNumberFormat="1" applyFont="1" applyFill="1" applyBorder="1" applyAlignment="1" applyProtection="1">
      <alignment horizontal="centerContinuous" vertical="center"/>
    </xf>
    <xf numFmtId="49" fontId="6" fillId="0" borderId="0" xfId="0" applyNumberFormat="1" applyFont="1" applyFill="1" applyBorder="1" applyAlignment="1" applyProtection="1">
      <alignment vertical="center"/>
    </xf>
    <xf numFmtId="0" fontId="23" fillId="0" borderId="5" xfId="0" applyNumberFormat="1" applyFont="1" applyFill="1" applyBorder="1" applyAlignment="1" applyProtection="1">
      <alignment vertical="center"/>
    </xf>
    <xf numFmtId="49" fontId="6" fillId="0" borderId="7" xfId="0" applyNumberFormat="1" applyFont="1" applyFill="1" applyBorder="1" applyAlignment="1" applyProtection="1">
      <alignment vertical="center"/>
    </xf>
    <xf numFmtId="49" fontId="6" fillId="0" borderId="9" xfId="0" applyNumberFormat="1" applyFont="1" applyFill="1" applyBorder="1" applyAlignment="1" applyProtection="1">
      <alignment vertical="top" wrapText="1"/>
    </xf>
    <xf numFmtId="49" fontId="6" fillId="0" borderId="10" xfId="0" applyNumberFormat="1" applyFont="1" applyFill="1" applyBorder="1" applyAlignment="1" applyProtection="1">
      <alignment horizontal="centerContinuous" vertical="top" wrapText="1"/>
    </xf>
    <xf numFmtId="49" fontId="6" fillId="0" borderId="11" xfId="0" applyNumberFormat="1" applyFont="1" applyFill="1" applyBorder="1" applyAlignment="1" applyProtection="1">
      <alignment horizontal="centerContinuous" vertical="top" wrapText="1"/>
    </xf>
    <xf numFmtId="49" fontId="6" fillId="0" borderId="12" xfId="0" applyNumberFormat="1" applyFont="1" applyFill="1" applyBorder="1" applyAlignment="1" applyProtection="1">
      <alignment horizontal="centerContinuous" vertical="top" wrapText="1"/>
    </xf>
    <xf numFmtId="49" fontId="6" fillId="0" borderId="26" xfId="0" applyNumberFormat="1" applyFont="1" applyFill="1" applyBorder="1" applyAlignment="1" applyProtection="1">
      <alignment horizontal="center" vertical="center" wrapText="1"/>
    </xf>
    <xf numFmtId="49" fontId="33" fillId="0" borderId="0" xfId="0" applyNumberFormat="1" applyFont="1" applyFill="1" applyBorder="1" applyAlignment="1" applyProtection="1">
      <alignment horizontal="centerContinuous" vertical="center"/>
    </xf>
    <xf numFmtId="49" fontId="35" fillId="0" borderId="2" xfId="0" applyNumberFormat="1" applyFont="1" applyFill="1" applyBorder="1" applyAlignment="1" applyProtection="1">
      <alignment vertical="center"/>
    </xf>
    <xf numFmtId="0" fontId="23" fillId="0" borderId="5" xfId="0" applyNumberFormat="1" applyFont="1" applyFill="1" applyBorder="1" applyProtection="1"/>
    <xf numFmtId="0" fontId="20" fillId="0" borderId="5" xfId="0" applyNumberFormat="1" applyFont="1" applyFill="1" applyBorder="1" applyProtection="1">
      <protection locked="0"/>
    </xf>
    <xf numFmtId="167" fontId="20" fillId="0" borderId="5" xfId="0" applyNumberFormat="1" applyFont="1" applyFill="1" applyBorder="1" applyAlignment="1" applyProtection="1">
      <alignment horizontal="centerContinuous"/>
      <protection locked="0"/>
    </xf>
    <xf numFmtId="0" fontId="29" fillId="0" borderId="8" xfId="0" applyFont="1" applyFill="1" applyBorder="1" applyProtection="1"/>
    <xf numFmtId="49" fontId="28" fillId="0" borderId="5" xfId="0" applyNumberFormat="1" applyFont="1" applyFill="1" applyBorder="1" applyProtection="1"/>
    <xf numFmtId="0" fontId="29" fillId="0" borderId="0" xfId="0" applyFont="1" applyFill="1" applyBorder="1" applyProtection="1"/>
    <xf numFmtId="0" fontId="33" fillId="0" borderId="1" xfId="0" applyFont="1" applyFill="1" applyBorder="1" applyAlignment="1" applyProtection="1">
      <alignment horizontal="right"/>
    </xf>
    <xf numFmtId="0" fontId="7" fillId="0" borderId="16" xfId="0" applyFont="1" applyFill="1" applyBorder="1" applyProtection="1">
      <protection locked="0"/>
    </xf>
    <xf numFmtId="0" fontId="33" fillId="0" borderId="11" xfId="0" applyFont="1" applyFill="1" applyBorder="1" applyProtection="1"/>
    <xf numFmtId="0" fontId="7" fillId="0" borderId="3" xfId="0" applyFont="1" applyFill="1" applyBorder="1" applyProtection="1"/>
    <xf numFmtId="0" fontId="33" fillId="0" borderId="16" xfId="0" applyFont="1" applyFill="1" applyBorder="1" applyProtection="1">
      <protection locked="0"/>
    </xf>
    <xf numFmtId="0" fontId="0" fillId="0" borderId="0" xfId="0" applyBorder="1"/>
    <xf numFmtId="0" fontId="7" fillId="0" borderId="0" xfId="0" applyNumberFormat="1" applyFont="1" applyFill="1" applyBorder="1" applyProtection="1"/>
    <xf numFmtId="0" fontId="7" fillId="0" borderId="7" xfId="0" applyFont="1" applyFill="1" applyBorder="1" applyProtection="1"/>
    <xf numFmtId="0" fontId="7" fillId="4" borderId="0" xfId="0" applyFont="1" applyFill="1" applyBorder="1" applyProtection="1"/>
    <xf numFmtId="0" fontId="7" fillId="0" borderId="13" xfId="0" applyFont="1" applyFill="1" applyBorder="1" applyProtection="1"/>
    <xf numFmtId="0" fontId="10" fillId="0" borderId="20" xfId="0" applyFont="1" applyFill="1" applyBorder="1" applyProtection="1">
      <protection locked="0"/>
    </xf>
    <xf numFmtId="0" fontId="10" fillId="0" borderId="44" xfId="0" applyFont="1" applyFill="1" applyBorder="1" applyProtection="1">
      <protection locked="0"/>
    </xf>
    <xf numFmtId="0" fontId="10" fillId="0" borderId="53" xfId="0" applyFont="1" applyFill="1" applyBorder="1" applyProtection="1">
      <protection locked="0"/>
    </xf>
    <xf numFmtId="0" fontId="34" fillId="0" borderId="33" xfId="0" applyFont="1" applyFill="1" applyBorder="1" applyProtection="1">
      <protection locked="0"/>
    </xf>
    <xf numFmtId="0" fontId="29" fillId="0" borderId="20" xfId="0" applyFont="1" applyFill="1" applyBorder="1" applyProtection="1">
      <protection locked="0"/>
    </xf>
    <xf numFmtId="0" fontId="7" fillId="0" borderId="30" xfId="0" applyFont="1" applyFill="1" applyBorder="1" applyProtection="1"/>
    <xf numFmtId="0" fontId="9" fillId="0" borderId="13" xfId="0" applyFont="1" applyFill="1" applyBorder="1" applyProtection="1"/>
    <xf numFmtId="0" fontId="7" fillId="0" borderId="33" xfId="0" applyFont="1" applyFill="1" applyBorder="1" applyProtection="1"/>
    <xf numFmtId="0" fontId="4" fillId="0" borderId="21" xfId="0" applyFont="1" applyFill="1" applyBorder="1" applyProtection="1"/>
    <xf numFmtId="0" fontId="7" fillId="4" borderId="13" xfId="0" applyFont="1" applyFill="1" applyBorder="1" applyProtection="1"/>
    <xf numFmtId="0" fontId="7" fillId="4" borderId="55" xfId="0" applyFont="1" applyFill="1" applyBorder="1" applyProtection="1"/>
    <xf numFmtId="0" fontId="7" fillId="4" borderId="56" xfId="0" applyFont="1" applyFill="1" applyBorder="1" applyProtection="1"/>
    <xf numFmtId="0" fontId="7" fillId="5" borderId="54" xfId="0" applyFont="1" applyFill="1" applyBorder="1" applyProtection="1"/>
    <xf numFmtId="0" fontId="7" fillId="5" borderId="55" xfId="0" applyFont="1" applyFill="1" applyBorder="1" applyProtection="1"/>
    <xf numFmtId="0" fontId="7" fillId="5" borderId="56" xfId="0" applyFont="1" applyFill="1" applyBorder="1" applyProtection="1"/>
    <xf numFmtId="0" fontId="7" fillId="0" borderId="14" xfId="0" applyFont="1" applyFill="1" applyBorder="1" applyProtection="1">
      <protection locked="0"/>
    </xf>
    <xf numFmtId="0" fontId="7" fillId="0" borderId="30" xfId="0" applyFont="1" applyFill="1" applyBorder="1" applyAlignment="1" applyProtection="1">
      <alignment horizontal="centerContinuous"/>
    </xf>
    <xf numFmtId="166" fontId="7" fillId="0" borderId="20" xfId="0" applyNumberFormat="1" applyFont="1" applyFill="1" applyBorder="1" applyProtection="1"/>
    <xf numFmtId="0" fontId="7" fillId="0" borderId="14" xfId="0" applyFont="1" applyFill="1" applyBorder="1" applyAlignment="1" applyProtection="1"/>
    <xf numFmtId="0" fontId="7" fillId="0" borderId="15" xfId="0" applyFont="1" applyFill="1" applyBorder="1" applyAlignment="1" applyProtection="1"/>
    <xf numFmtId="0" fontId="13" fillId="0" borderId="0" xfId="0" applyFont="1" applyBorder="1" applyAlignment="1">
      <alignment horizontal="centerContinuous"/>
    </xf>
    <xf numFmtId="0" fontId="13" fillId="0" borderId="30" xfId="0" applyFont="1" applyFill="1" applyBorder="1" applyAlignment="1" applyProtection="1">
      <alignment horizontal="centerContinuous"/>
    </xf>
    <xf numFmtId="0" fontId="7" fillId="0" borderId="30" xfId="0" applyFont="1" applyFill="1" applyBorder="1" applyAlignment="1" applyProtection="1"/>
    <xf numFmtId="0" fontId="14" fillId="0" borderId="21" xfId="0" applyNumberFormat="1" applyFont="1" applyFill="1" applyBorder="1" applyAlignment="1" applyProtection="1">
      <alignment horizontal="centerContinuous"/>
    </xf>
    <xf numFmtId="0" fontId="7" fillId="0" borderId="21" xfId="0" applyFont="1" applyFill="1" applyBorder="1" applyAlignment="1" applyProtection="1">
      <alignment horizontal="centerContinuous"/>
    </xf>
    <xf numFmtId="0" fontId="7" fillId="0" borderId="21" xfId="0" applyFont="1" applyBorder="1" applyAlignment="1">
      <alignment horizontal="centerContinuous"/>
    </xf>
    <xf numFmtId="0" fontId="7" fillId="0" borderId="22" xfId="0" applyFont="1" applyFill="1" applyBorder="1" applyAlignment="1" applyProtection="1">
      <alignment horizontal="centerContinuous"/>
    </xf>
    <xf numFmtId="0" fontId="13" fillId="0" borderId="33" xfId="0" applyFont="1" applyFill="1" applyBorder="1" applyProtection="1"/>
    <xf numFmtId="49" fontId="6" fillId="0" borderId="0" xfId="0" applyNumberFormat="1" applyFont="1" applyFill="1" applyBorder="1" applyAlignment="1" applyProtection="1">
      <alignment vertical="top"/>
    </xf>
    <xf numFmtId="49" fontId="6" fillId="0" borderId="1" xfId="0" applyNumberFormat="1" applyFont="1" applyFill="1" applyBorder="1" applyAlignment="1" applyProtection="1">
      <alignment vertical="top"/>
    </xf>
    <xf numFmtId="0" fontId="20" fillId="0" borderId="0" xfId="0" applyNumberFormat="1" applyFont="1" applyFill="1" applyBorder="1" applyAlignment="1" applyProtection="1">
      <alignment vertical="top"/>
      <protection locked="0"/>
    </xf>
    <xf numFmtId="49" fontId="20" fillId="0" borderId="0" xfId="0" applyNumberFormat="1" applyFont="1" applyFill="1" applyBorder="1" applyAlignment="1" applyProtection="1">
      <alignment vertical="top"/>
      <protection locked="0"/>
    </xf>
    <xf numFmtId="49" fontId="20" fillId="0" borderId="0" xfId="0" applyNumberFormat="1" applyFont="1" applyFill="1" applyBorder="1" applyAlignment="1" applyProtection="1"/>
    <xf numFmtId="14" fontId="20" fillId="0" borderId="0" xfId="0" applyNumberFormat="1" applyFont="1" applyFill="1" applyBorder="1" applyAlignment="1" applyProtection="1">
      <alignment horizontal="centerContinuous" vertical="top"/>
      <protection locked="0"/>
    </xf>
    <xf numFmtId="49" fontId="20" fillId="0" borderId="0" xfId="0" applyNumberFormat="1" applyFont="1" applyFill="1" applyBorder="1" applyAlignment="1" applyProtection="1">
      <alignment horizontal="centerContinuous"/>
    </xf>
    <xf numFmtId="49" fontId="6" fillId="0" borderId="0" xfId="0" applyNumberFormat="1" applyFont="1" applyFill="1" applyBorder="1" applyAlignment="1" applyProtection="1">
      <alignment horizontal="center" vertical="top"/>
    </xf>
    <xf numFmtId="49" fontId="29" fillId="0" borderId="0" xfId="0" applyNumberFormat="1" applyFont="1" applyFill="1" applyBorder="1" applyAlignment="1" applyProtection="1">
      <alignment vertical="top"/>
    </xf>
    <xf numFmtId="49" fontId="33" fillId="0" borderId="0" xfId="0" applyNumberFormat="1" applyFont="1" applyFill="1" applyBorder="1" applyAlignment="1" applyProtection="1">
      <alignment horizontal="centerContinuous" vertical="top"/>
    </xf>
    <xf numFmtId="0" fontId="20" fillId="0" borderId="1" xfId="0" applyFont="1" applyBorder="1" applyProtection="1"/>
    <xf numFmtId="49" fontId="20" fillId="0" borderId="1" xfId="0" applyNumberFormat="1" applyFont="1" applyFill="1" applyBorder="1" applyAlignment="1" applyProtection="1"/>
    <xf numFmtId="49" fontId="6" fillId="0" borderId="1" xfId="0" applyNumberFormat="1" applyFont="1" applyFill="1" applyBorder="1" applyProtection="1"/>
    <xf numFmtId="0" fontId="28" fillId="0" borderId="38" xfId="0" applyFont="1" applyFill="1" applyBorder="1" applyAlignment="1">
      <alignment horizontal="center" vertical="top" wrapText="1"/>
    </xf>
    <xf numFmtId="0" fontId="37" fillId="0" borderId="0" xfId="0" applyFont="1" applyFill="1" applyAlignment="1">
      <alignment horizontal="centerContinuous"/>
    </xf>
    <xf numFmtId="49" fontId="20" fillId="0" borderId="1" xfId="0" applyNumberFormat="1" applyFont="1" applyFill="1" applyBorder="1" applyProtection="1">
      <protection locked="0"/>
    </xf>
    <xf numFmtId="0" fontId="4" fillId="2" borderId="0" xfId="0" applyFont="1" applyFill="1" applyBorder="1"/>
    <xf numFmtId="0" fontId="12" fillId="2" borderId="0" xfId="0" applyFont="1" applyFill="1" applyBorder="1"/>
    <xf numFmtId="0" fontId="15" fillId="0" borderId="0" xfId="0" applyFont="1" applyFill="1" applyBorder="1"/>
    <xf numFmtId="0" fontId="17" fillId="0" borderId="0" xfId="0" applyFont="1" applyFill="1" applyBorder="1"/>
    <xf numFmtId="0" fontId="11" fillId="0" borderId="0" xfId="0" applyFont="1" applyFill="1" applyBorder="1"/>
    <xf numFmtId="0" fontId="36" fillId="0" borderId="8" xfId="0" applyFont="1" applyFill="1" applyBorder="1" applyProtection="1">
      <protection locked="0"/>
    </xf>
    <xf numFmtId="0" fontId="36" fillId="0" borderId="0" xfId="0" applyFont="1" applyFill="1" applyBorder="1"/>
    <xf numFmtId="49" fontId="38" fillId="0" borderId="0" xfId="0" applyNumberFormat="1" applyFont="1" applyFill="1" applyBorder="1" applyProtection="1">
      <protection locked="0"/>
    </xf>
    <xf numFmtId="0" fontId="36" fillId="0" borderId="7" xfId="0" applyFont="1" applyFill="1" applyBorder="1"/>
    <xf numFmtId="0" fontId="38" fillId="0" borderId="8" xfId="0" applyFont="1" applyFill="1" applyBorder="1" applyProtection="1">
      <protection locked="0"/>
    </xf>
    <xf numFmtId="49" fontId="20" fillId="0" borderId="0" xfId="0" applyNumberFormat="1" applyFont="1" applyFill="1" applyBorder="1" applyProtection="1">
      <protection locked="0"/>
    </xf>
    <xf numFmtId="49" fontId="29" fillId="0" borderId="5" xfId="0" applyNumberFormat="1" applyFont="1" applyFill="1" applyBorder="1" applyProtection="1">
      <protection locked="0"/>
    </xf>
    <xf numFmtId="49" fontId="32" fillId="0" borderId="0" xfId="0" applyNumberFormat="1" applyFont="1" applyFill="1" applyBorder="1" applyAlignment="1" applyProtection="1">
      <alignment horizontal="centerContinuous"/>
    </xf>
    <xf numFmtId="49" fontId="6" fillId="0" borderId="3" xfId="0" applyNumberFormat="1" applyFont="1" applyFill="1" applyBorder="1" applyProtection="1"/>
    <xf numFmtId="49" fontId="6" fillId="0" borderId="3" xfId="0" applyNumberFormat="1" applyFont="1" applyFill="1" applyBorder="1" applyProtection="1">
      <protection locked="0"/>
    </xf>
    <xf numFmtId="0" fontId="23" fillId="0" borderId="8" xfId="0" applyNumberFormat="1" applyFont="1" applyFill="1" applyBorder="1" applyProtection="1"/>
    <xf numFmtId="49" fontId="6" fillId="0" borderId="0" xfId="0" applyNumberFormat="1" applyFont="1" applyFill="1" applyBorder="1" applyProtection="1">
      <protection locked="0"/>
    </xf>
    <xf numFmtId="49" fontId="6" fillId="0" borderId="7" xfId="0" applyNumberFormat="1" applyFont="1" applyFill="1" applyBorder="1" applyProtection="1"/>
    <xf numFmtId="14" fontId="20" fillId="0" borderId="8" xfId="0" applyNumberFormat="1" applyFont="1" applyFill="1" applyBorder="1" applyAlignment="1" applyProtection="1">
      <alignment horizontal="centerContinuous"/>
      <protection locked="0"/>
    </xf>
    <xf numFmtId="49" fontId="6" fillId="0" borderId="13" xfId="0" applyNumberFormat="1" applyFont="1" applyFill="1" applyBorder="1" applyProtection="1"/>
    <xf numFmtId="49" fontId="6" fillId="0" borderId="14" xfId="0" applyNumberFormat="1" applyFont="1" applyFill="1" applyBorder="1" applyProtection="1"/>
    <xf numFmtId="49" fontId="6" fillId="0" borderId="15" xfId="0" applyNumberFormat="1" applyFont="1" applyFill="1" applyBorder="1" applyProtection="1"/>
    <xf numFmtId="49" fontId="20" fillId="0" borderId="33" xfId="0" applyNumberFormat="1" applyFont="1" applyFill="1" applyBorder="1" applyProtection="1">
      <protection locked="0"/>
    </xf>
    <xf numFmtId="49" fontId="6" fillId="0" borderId="30" xfId="0" applyNumberFormat="1" applyFont="1" applyFill="1" applyBorder="1" applyProtection="1"/>
    <xf numFmtId="49" fontId="6" fillId="0" borderId="20" xfId="0" applyNumberFormat="1" applyFont="1" applyFill="1" applyBorder="1" applyProtection="1">
      <protection locked="0"/>
    </xf>
    <xf numFmtId="49" fontId="6" fillId="0" borderId="21" xfId="0" applyNumberFormat="1" applyFont="1" applyFill="1" applyBorder="1" applyProtection="1">
      <protection locked="0"/>
    </xf>
    <xf numFmtId="49" fontId="6" fillId="0" borderId="21" xfId="0" applyNumberFormat="1" applyFont="1" applyFill="1" applyBorder="1" applyProtection="1"/>
    <xf numFmtId="49" fontId="6" fillId="0" borderId="22" xfId="0" applyNumberFormat="1" applyFont="1" applyFill="1" applyBorder="1" applyProtection="1"/>
    <xf numFmtId="49" fontId="6" fillId="0" borderId="20" xfId="0" applyNumberFormat="1" applyFont="1" applyFill="1" applyBorder="1" applyProtection="1"/>
    <xf numFmtId="0" fontId="4" fillId="2" borderId="0" xfId="0" applyFont="1" applyFill="1" applyBorder="1" applyAlignment="1" applyProtection="1">
      <alignment vertical="top" wrapText="1"/>
    </xf>
    <xf numFmtId="49" fontId="12" fillId="0" borderId="23" xfId="0" applyNumberFormat="1" applyFont="1" applyFill="1" applyBorder="1" applyAlignment="1" applyProtection="1">
      <alignment horizontal="center" vertical="center" textRotation="255"/>
    </xf>
    <xf numFmtId="0" fontId="4" fillId="0" borderId="33" xfId="0" applyFont="1" applyFill="1" applyBorder="1" applyProtection="1"/>
    <xf numFmtId="0" fontId="4" fillId="0" borderId="30" xfId="0" applyFont="1" applyFill="1" applyBorder="1" applyProtection="1"/>
    <xf numFmtId="49" fontId="4" fillId="0" borderId="18" xfId="0" applyNumberFormat="1" applyFont="1" applyFill="1" applyBorder="1" applyAlignment="1" applyProtection="1">
      <alignment horizontal="left" vertical="center"/>
    </xf>
    <xf numFmtId="0" fontId="4" fillId="0" borderId="3" xfId="0" applyFont="1" applyBorder="1"/>
    <xf numFmtId="49" fontId="4" fillId="0" borderId="4" xfId="0" applyNumberFormat="1" applyFont="1" applyFill="1" applyBorder="1" applyAlignment="1" applyProtection="1">
      <alignment horizontal="left" vertical="center"/>
    </xf>
    <xf numFmtId="49" fontId="4" fillId="0" borderId="2" xfId="0" applyNumberFormat="1" applyFont="1" applyFill="1" applyBorder="1" applyAlignment="1" applyProtection="1">
      <alignment horizontal="left" vertical="center"/>
    </xf>
    <xf numFmtId="49" fontId="4" fillId="0" borderId="3" xfId="0" applyNumberFormat="1" applyFont="1" applyFill="1" applyBorder="1" applyAlignment="1" applyProtection="1">
      <alignment horizontal="left" vertical="center"/>
    </xf>
    <xf numFmtId="49" fontId="4" fillId="0" borderId="19" xfId="0" applyNumberFormat="1" applyFont="1" applyFill="1" applyBorder="1" applyAlignment="1" applyProtection="1">
      <alignment horizontal="left" vertical="center"/>
    </xf>
    <xf numFmtId="0" fontId="10" fillId="0" borderId="16" xfId="0" applyNumberFormat="1" applyFont="1" applyFill="1" applyBorder="1" applyAlignment="1" applyProtection="1">
      <alignment vertical="top"/>
      <protection locked="0"/>
    </xf>
    <xf numFmtId="49" fontId="7" fillId="0" borderId="1" xfId="0" applyNumberFormat="1" applyFont="1" applyFill="1" applyBorder="1" applyAlignment="1" applyProtection="1">
      <alignment vertical="top"/>
    </xf>
    <xf numFmtId="49" fontId="7" fillId="0" borderId="6" xfId="0" applyNumberFormat="1" applyFont="1" applyFill="1" applyBorder="1" applyAlignment="1" applyProtection="1">
      <alignment vertical="top"/>
    </xf>
    <xf numFmtId="0" fontId="14" fillId="0" borderId="5" xfId="0" applyNumberFormat="1" applyFont="1" applyFill="1" applyBorder="1" applyAlignment="1" applyProtection="1">
      <alignment vertical="top"/>
    </xf>
    <xf numFmtId="49" fontId="7" fillId="0" borderId="1" xfId="0" applyNumberFormat="1" applyFont="1" applyFill="1" applyBorder="1" applyAlignment="1" applyProtection="1">
      <alignment horizontal="left" vertical="top"/>
    </xf>
    <xf numFmtId="49" fontId="7" fillId="0" borderId="6" xfId="0" applyNumberFormat="1" applyFont="1" applyFill="1" applyBorder="1" applyAlignment="1" applyProtection="1">
      <alignment horizontal="left" vertical="top"/>
    </xf>
    <xf numFmtId="49" fontId="10" fillId="0" borderId="5" xfId="0" applyNumberFormat="1" applyFont="1" applyFill="1" applyBorder="1" applyAlignment="1" applyProtection="1">
      <alignment horizontal="left" vertical="top"/>
      <protection locked="0"/>
    </xf>
    <xf numFmtId="49" fontId="7" fillId="0" borderId="17" xfId="0" applyNumberFormat="1" applyFont="1" applyFill="1" applyBorder="1" applyAlignment="1" applyProtection="1">
      <alignment horizontal="left" vertical="top"/>
    </xf>
    <xf numFmtId="49" fontId="4" fillId="0" borderId="18" xfId="0" applyNumberFormat="1" applyFont="1" applyFill="1" applyBorder="1" applyAlignment="1" applyProtection="1">
      <alignment horizontal="left" vertical="top"/>
    </xf>
    <xf numFmtId="49" fontId="4" fillId="0" borderId="4" xfId="0" applyNumberFormat="1" applyFont="1" applyFill="1" applyBorder="1" applyAlignment="1" applyProtection="1">
      <alignment horizontal="left" vertical="top"/>
    </xf>
    <xf numFmtId="49" fontId="4" fillId="0" borderId="2" xfId="0" applyNumberFormat="1" applyFont="1" applyFill="1" applyBorder="1" applyAlignment="1" applyProtection="1">
      <alignment horizontal="left" vertical="top"/>
    </xf>
    <xf numFmtId="49" fontId="4" fillId="0" borderId="19" xfId="0" applyNumberFormat="1" applyFont="1" applyFill="1" applyBorder="1" applyAlignment="1" applyProtection="1">
      <alignment horizontal="left" vertical="top"/>
    </xf>
    <xf numFmtId="167" fontId="10" fillId="0" borderId="5" xfId="0" applyNumberFormat="1" applyFont="1" applyFill="1" applyBorder="1" applyAlignment="1" applyProtection="1">
      <alignment horizontal="centerContinuous" vertical="top"/>
      <protection locked="0"/>
    </xf>
    <xf numFmtId="167" fontId="7" fillId="0" borderId="6" xfId="0" applyNumberFormat="1" applyFont="1" applyFill="1" applyBorder="1" applyAlignment="1" applyProtection="1">
      <alignment horizontal="centerContinuous" vertical="top"/>
    </xf>
    <xf numFmtId="49" fontId="4" fillId="0" borderId="3" xfId="0" applyNumberFormat="1" applyFont="1" applyFill="1" applyBorder="1" applyAlignment="1" applyProtection="1">
      <alignment horizontal="left" vertical="top"/>
    </xf>
    <xf numFmtId="0" fontId="14" fillId="0" borderId="16" xfId="0" applyNumberFormat="1" applyFont="1" applyFill="1" applyBorder="1" applyAlignment="1" applyProtection="1">
      <alignment vertical="top"/>
    </xf>
    <xf numFmtId="49" fontId="10" fillId="0" borderId="16" xfId="0" applyNumberFormat="1" applyFont="1" applyFill="1" applyBorder="1" applyAlignment="1" applyProtection="1">
      <alignment horizontal="left" vertical="top"/>
      <protection locked="0"/>
    </xf>
    <xf numFmtId="167" fontId="7" fillId="0" borderId="1" xfId="0" applyNumberFormat="1" applyFont="1" applyFill="1" applyBorder="1" applyAlignment="1" applyProtection="1">
      <alignment horizontal="centerContinuous" vertical="top"/>
    </xf>
    <xf numFmtId="167" fontId="7" fillId="0" borderId="17" xfId="0" applyNumberFormat="1" applyFont="1" applyFill="1" applyBorder="1" applyAlignment="1" applyProtection="1">
      <alignment horizontal="centerContinuous" vertical="top"/>
    </xf>
    <xf numFmtId="49" fontId="7" fillId="0" borderId="16" xfId="0" applyNumberFormat="1" applyFont="1" applyFill="1" applyBorder="1"/>
    <xf numFmtId="49" fontId="39" fillId="6" borderId="33" xfId="0" applyNumberFormat="1" applyFont="1" applyFill="1" applyBorder="1" applyAlignment="1" applyProtection="1">
      <alignment horizontal="centerContinuous"/>
    </xf>
    <xf numFmtId="49" fontId="39" fillId="6" borderId="0" xfId="0" applyNumberFormat="1" applyFont="1" applyFill="1" applyBorder="1" applyAlignment="1" applyProtection="1">
      <alignment horizontal="centerContinuous"/>
    </xf>
    <xf numFmtId="49" fontId="39" fillId="6" borderId="30" xfId="0" applyNumberFormat="1" applyFont="1" applyFill="1" applyBorder="1" applyAlignment="1" applyProtection="1">
      <alignment horizontal="centerContinuous"/>
    </xf>
    <xf numFmtId="49" fontId="4" fillId="0" borderId="18" xfId="0" applyNumberFormat="1" applyFont="1" applyFill="1" applyBorder="1" applyProtection="1"/>
    <xf numFmtId="49" fontId="4" fillId="0" borderId="19" xfId="0" applyNumberFormat="1" applyFont="1" applyFill="1" applyBorder="1" applyProtection="1"/>
    <xf numFmtId="0" fontId="10" fillId="0" borderId="33" xfId="0" applyNumberFormat="1" applyFont="1" applyFill="1" applyBorder="1" applyProtection="1">
      <protection locked="0"/>
    </xf>
    <xf numFmtId="49" fontId="7" fillId="0" borderId="0" xfId="0" applyNumberFormat="1" applyFont="1" applyFill="1" applyBorder="1" applyProtection="1"/>
    <xf numFmtId="49" fontId="7" fillId="0" borderId="7" xfId="0" applyNumberFormat="1" applyFont="1" applyFill="1" applyBorder="1" applyProtection="1"/>
    <xf numFmtId="0" fontId="14" fillId="0" borderId="8" xfId="0" applyNumberFormat="1" applyFont="1" applyFill="1" applyBorder="1" applyAlignment="1" applyProtection="1">
      <alignment vertical="top"/>
      <protection locked="0"/>
    </xf>
    <xf numFmtId="49" fontId="7" fillId="0" borderId="30" xfId="0" applyNumberFormat="1" applyFont="1" applyFill="1" applyBorder="1" applyProtection="1"/>
    <xf numFmtId="0" fontId="10" fillId="0" borderId="16" xfId="0" applyNumberFormat="1" applyFont="1" applyFill="1" applyBorder="1" applyProtection="1">
      <protection locked="0"/>
    </xf>
    <xf numFmtId="0" fontId="14" fillId="0" borderId="5" xfId="0" applyNumberFormat="1" applyFont="1" applyFill="1" applyBorder="1" applyAlignment="1" applyProtection="1">
      <alignment vertical="top"/>
      <protection locked="0"/>
    </xf>
    <xf numFmtId="49" fontId="5" fillId="0" borderId="33" xfId="0" applyNumberFormat="1" applyFont="1" applyFill="1" applyBorder="1" applyProtection="1"/>
    <xf numFmtId="49" fontId="5" fillId="0" borderId="0" xfId="0" applyNumberFormat="1" applyFont="1" applyFill="1" applyBorder="1" applyProtection="1"/>
    <xf numFmtId="49" fontId="5" fillId="0" borderId="30" xfId="0" applyNumberFormat="1" applyFont="1" applyFill="1" applyBorder="1" applyAlignment="1" applyProtection="1">
      <alignment horizontal="right"/>
    </xf>
    <xf numFmtId="49" fontId="4" fillId="0" borderId="20" xfId="0" applyNumberFormat="1" applyFont="1" applyFill="1" applyBorder="1" applyProtection="1"/>
    <xf numFmtId="49" fontId="4" fillId="0" borderId="21" xfId="0" applyNumberFormat="1" applyFont="1" applyFill="1" applyBorder="1" applyProtection="1"/>
    <xf numFmtId="14" fontId="4" fillId="0" borderId="22" xfId="0" applyNumberFormat="1" applyFont="1" applyFill="1" applyBorder="1" applyProtection="1"/>
    <xf numFmtId="49" fontId="6" fillId="0" borderId="23" xfId="0" applyNumberFormat="1" applyFont="1" applyFill="1" applyBorder="1" applyAlignment="1" applyProtection="1">
      <alignment horizontal="center" vertical="center" textRotation="90"/>
    </xf>
    <xf numFmtId="0" fontId="29" fillId="0" borderId="2" xfId="0" applyFont="1" applyFill="1" applyBorder="1"/>
    <xf numFmtId="0" fontId="34" fillId="0" borderId="0" xfId="0" applyFont="1"/>
    <xf numFmtId="0" fontId="29" fillId="0" borderId="0" xfId="0" applyFont="1"/>
    <xf numFmtId="0" fontId="0" fillId="0" borderId="4" xfId="0" applyBorder="1"/>
    <xf numFmtId="0" fontId="0" fillId="0" borderId="3" xfId="0" applyBorder="1"/>
    <xf numFmtId="0" fontId="34" fillId="0" borderId="0" xfId="0" applyFont="1" applyAlignment="1">
      <alignment horizontal="center"/>
    </xf>
    <xf numFmtId="0" fontId="29" fillId="0" borderId="0" xfId="0" applyFont="1" applyAlignment="1">
      <alignment horizontal="center"/>
    </xf>
    <xf numFmtId="0" fontId="42" fillId="0" borderId="5" xfId="0" applyFont="1" applyFill="1" applyBorder="1" applyProtection="1">
      <protection locked="0"/>
    </xf>
    <xf numFmtId="0" fontId="43" fillId="0" borderId="1" xfId="0" applyFont="1" applyFill="1" applyBorder="1"/>
    <xf numFmtId="0" fontId="43" fillId="0" borderId="8" xfId="0" applyFont="1" applyFill="1" applyBorder="1"/>
    <xf numFmtId="0" fontId="42" fillId="0" borderId="0" xfId="0" applyFont="1" applyFill="1" applyBorder="1" applyProtection="1">
      <protection locked="0"/>
    </xf>
    <xf numFmtId="0" fontId="43" fillId="0" borderId="7" xfId="0" applyFont="1" applyBorder="1"/>
    <xf numFmtId="0" fontId="43" fillId="0" borderId="2" xfId="0" applyFont="1" applyFill="1" applyBorder="1"/>
    <xf numFmtId="0" fontId="43" fillId="0" borderId="3" xfId="0" applyFont="1" applyFill="1" applyBorder="1"/>
    <xf numFmtId="0" fontId="43" fillId="0" borderId="3" xfId="0" applyFont="1" applyBorder="1"/>
    <xf numFmtId="0" fontId="43" fillId="0" borderId="4" xfId="0" applyFont="1" applyBorder="1"/>
    <xf numFmtId="0" fontId="43" fillId="0" borderId="5" xfId="0" applyFont="1" applyFill="1" applyBorder="1"/>
    <xf numFmtId="0" fontId="42" fillId="0" borderId="1" xfId="0" applyFont="1" applyFill="1" applyBorder="1" applyProtection="1">
      <protection locked="0"/>
    </xf>
    <xf numFmtId="0" fontId="43" fillId="0" borderId="6" xfId="0" applyFont="1" applyBorder="1"/>
    <xf numFmtId="0" fontId="43" fillId="0" borderId="0" xfId="0" applyFont="1"/>
    <xf numFmtId="0" fontId="43" fillId="0" borderId="10" xfId="0" applyFont="1" applyBorder="1" applyAlignment="1">
      <alignment vertical="center"/>
    </xf>
    <xf numFmtId="0" fontId="43" fillId="0" borderId="12" xfId="0" applyFont="1" applyBorder="1" applyAlignment="1">
      <alignment vertical="center" wrapText="1"/>
    </xf>
    <xf numFmtId="0" fontId="43" fillId="0" borderId="12" xfId="0" applyFont="1" applyBorder="1"/>
    <xf numFmtId="0" fontId="43" fillId="0" borderId="23" xfId="0" applyFont="1" applyBorder="1"/>
    <xf numFmtId="0" fontId="43" fillId="0" borderId="10" xfId="0" applyFont="1" applyBorder="1" applyAlignment="1">
      <alignment horizontal="center" vertical="center" wrapText="1"/>
    </xf>
    <xf numFmtId="0" fontId="28" fillId="0" borderId="37" xfId="0" applyFont="1" applyFill="1" applyBorder="1" applyAlignment="1">
      <alignment horizontal="center" vertical="top" wrapText="1"/>
    </xf>
    <xf numFmtId="0" fontId="28" fillId="0" borderId="39" xfId="0" applyFont="1" applyFill="1" applyBorder="1" applyAlignment="1">
      <alignment horizontal="center" vertical="top" wrapText="1"/>
    </xf>
    <xf numFmtId="0" fontId="29" fillId="0" borderId="9" xfId="0" applyFont="1" applyFill="1" applyBorder="1"/>
    <xf numFmtId="0" fontId="10" fillId="0" borderId="9" xfId="0" applyFont="1" applyFill="1" applyBorder="1" applyAlignment="1" applyProtection="1">
      <alignment vertical="top" wrapText="1"/>
      <protection locked="0"/>
    </xf>
    <xf numFmtId="0" fontId="10" fillId="0" borderId="58" xfId="0" applyFont="1" applyFill="1" applyBorder="1" applyAlignment="1" applyProtection="1">
      <alignment vertical="top" wrapText="1"/>
      <protection locked="0"/>
    </xf>
    <xf numFmtId="0" fontId="10" fillId="0" borderId="59" xfId="0" applyFont="1" applyFill="1" applyBorder="1" applyAlignment="1" applyProtection="1">
      <alignment vertical="top" wrapText="1"/>
      <protection locked="0"/>
    </xf>
    <xf numFmtId="0" fontId="10" fillId="0" borderId="26" xfId="0" applyFont="1" applyFill="1" applyBorder="1" applyAlignment="1" applyProtection="1">
      <alignment vertical="top" wrapText="1"/>
      <protection locked="0"/>
    </xf>
    <xf numFmtId="0" fontId="10" fillId="0" borderId="27" xfId="0" applyFont="1" applyFill="1" applyBorder="1" applyAlignment="1" applyProtection="1">
      <alignment vertical="top" wrapText="1"/>
      <protection locked="0"/>
    </xf>
    <xf numFmtId="0" fontId="10" fillId="0" borderId="50" xfId="0" applyFont="1" applyFill="1" applyBorder="1" applyAlignment="1" applyProtection="1">
      <alignment vertical="top" wrapText="1"/>
      <protection locked="0"/>
    </xf>
    <xf numFmtId="0" fontId="10" fillId="0" borderId="51" xfId="0" applyFont="1" applyFill="1" applyBorder="1" applyAlignment="1" applyProtection="1">
      <alignment vertical="top" wrapText="1"/>
      <protection locked="0"/>
    </xf>
    <xf numFmtId="0" fontId="28" fillId="0" borderId="26" xfId="0" applyFont="1" applyFill="1" applyBorder="1" applyAlignment="1">
      <alignment horizontal="center" vertical="top" wrapText="1"/>
    </xf>
    <xf numFmtId="0" fontId="0" fillId="0" borderId="26" xfId="0" applyFill="1" applyBorder="1" applyAlignment="1">
      <alignment horizontal="center" vertical="top" wrapText="1"/>
    </xf>
    <xf numFmtId="0" fontId="24" fillId="0" borderId="26" xfId="0" applyFont="1" applyFill="1" applyBorder="1" applyAlignment="1">
      <alignment horizontal="center" vertical="top" wrapText="1"/>
    </xf>
    <xf numFmtId="0" fontId="24" fillId="0" borderId="27" xfId="0" applyFont="1" applyFill="1" applyBorder="1" applyAlignment="1">
      <alignment horizontal="center" vertical="top" wrapText="1"/>
    </xf>
    <xf numFmtId="0" fontId="45" fillId="0" borderId="24" xfId="0" applyFont="1" applyFill="1" applyBorder="1" applyAlignment="1" applyProtection="1">
      <alignment vertical="top" wrapText="1"/>
      <protection locked="0"/>
    </xf>
    <xf numFmtId="0" fontId="45" fillId="0" borderId="57" xfId="0" applyFont="1" applyFill="1" applyBorder="1" applyAlignment="1" applyProtection="1">
      <alignment vertical="top" wrapText="1"/>
      <protection locked="0"/>
    </xf>
    <xf numFmtId="0" fontId="45" fillId="0" borderId="52" xfId="0" applyFont="1" applyFill="1" applyBorder="1" applyAlignment="1" applyProtection="1">
      <alignment vertical="top" wrapText="1"/>
      <protection locked="0"/>
    </xf>
    <xf numFmtId="0" fontId="45" fillId="0" borderId="59" xfId="0" applyFont="1" applyFill="1" applyBorder="1" applyAlignment="1">
      <alignment horizontal="left" vertical="top" wrapText="1"/>
    </xf>
    <xf numFmtId="0" fontId="34" fillId="2" borderId="0" xfId="3" applyFill="1" applyProtection="1"/>
    <xf numFmtId="0" fontId="18" fillId="2" borderId="0" xfId="3" applyFont="1" applyFill="1" applyProtection="1"/>
    <xf numFmtId="0" fontId="18" fillId="2" borderId="0" xfId="3" applyFont="1" applyFill="1" applyAlignment="1" applyProtection="1"/>
    <xf numFmtId="0" fontId="7" fillId="2" borderId="0" xfId="3" applyFont="1" applyFill="1" applyProtection="1"/>
    <xf numFmtId="0" fontId="7" fillId="2" borderId="0" xfId="3" applyFont="1" applyFill="1" applyAlignment="1" applyProtection="1">
      <alignment horizontal="center"/>
    </xf>
    <xf numFmtId="0" fontId="7" fillId="0" borderId="0" xfId="3" applyFont="1" applyFill="1" applyProtection="1"/>
    <xf numFmtId="0" fontId="7" fillId="0" borderId="0" xfId="3" applyFont="1" applyFill="1" applyAlignment="1" applyProtection="1">
      <alignment horizontal="center"/>
    </xf>
    <xf numFmtId="0" fontId="7" fillId="0" borderId="60" xfId="3" applyFont="1" applyFill="1" applyBorder="1" applyAlignment="1" applyProtection="1"/>
    <xf numFmtId="0" fontId="7" fillId="0" borderId="49" xfId="3" applyFont="1" applyFill="1" applyBorder="1" applyAlignment="1" applyProtection="1"/>
    <xf numFmtId="0" fontId="20" fillId="0" borderId="53" xfId="3" applyFont="1" applyFill="1" applyBorder="1" applyAlignment="1" applyProtection="1">
      <protection locked="0"/>
    </xf>
    <xf numFmtId="168" fontId="6" fillId="0" borderId="42" xfId="3" applyNumberFormat="1" applyFont="1" applyFill="1" applyBorder="1" applyProtection="1"/>
    <xf numFmtId="168" fontId="6" fillId="0" borderId="41" xfId="3" applyNumberFormat="1" applyFont="1" applyFill="1" applyBorder="1" applyProtection="1"/>
    <xf numFmtId="0" fontId="6" fillId="0" borderId="61" xfId="3" applyFont="1" applyFill="1" applyBorder="1" applyAlignment="1" applyProtection="1">
      <alignment horizontal="left"/>
    </xf>
    <xf numFmtId="0" fontId="7" fillId="0" borderId="48" xfId="3" applyFont="1" applyFill="1" applyBorder="1" applyAlignment="1" applyProtection="1"/>
    <xf numFmtId="0" fontId="7" fillId="0" borderId="11" xfId="3" applyFont="1" applyFill="1" applyBorder="1" applyAlignment="1" applyProtection="1"/>
    <xf numFmtId="0" fontId="20" fillId="0" borderId="47" xfId="3" applyFont="1" applyFill="1" applyBorder="1" applyAlignment="1" applyProtection="1">
      <protection locked="0"/>
    </xf>
    <xf numFmtId="168" fontId="6" fillId="0" borderId="39" xfId="3" applyNumberFormat="1" applyFont="1" applyFill="1" applyBorder="1" applyProtection="1"/>
    <xf numFmtId="168" fontId="6" fillId="0" borderId="38" xfId="3" applyNumberFormat="1" applyFont="1" applyFill="1" applyBorder="1" applyProtection="1"/>
    <xf numFmtId="0" fontId="6" fillId="0" borderId="37" xfId="3" applyFont="1" applyFill="1" applyBorder="1" applyAlignment="1" applyProtection="1">
      <alignment horizontal="left"/>
    </xf>
    <xf numFmtId="168" fontId="20" fillId="0" borderId="25" xfId="3" applyNumberFormat="1" applyFont="1" applyFill="1" applyBorder="1" applyProtection="1">
      <protection locked="0"/>
    </xf>
    <xf numFmtId="168" fontId="20" fillId="0" borderId="23" xfId="3" applyNumberFormat="1" applyFont="1" applyFill="1" applyBorder="1" applyProtection="1">
      <protection locked="0"/>
    </xf>
    <xf numFmtId="0" fontId="6" fillId="0" borderId="57" xfId="3" applyFont="1" applyFill="1" applyBorder="1" applyAlignment="1" applyProtection="1">
      <alignment horizontal="right"/>
    </xf>
    <xf numFmtId="0" fontId="6" fillId="0" borderId="24" xfId="3" applyFont="1" applyFill="1" applyBorder="1" applyAlignment="1" applyProtection="1">
      <alignment horizontal="right"/>
    </xf>
    <xf numFmtId="168" fontId="20" fillId="0" borderId="27" xfId="3" applyNumberFormat="1" applyFont="1" applyFill="1" applyBorder="1" applyProtection="1">
      <protection locked="0"/>
    </xf>
    <xf numFmtId="168" fontId="20" fillId="0" borderId="26" xfId="3" applyNumberFormat="1" applyFont="1" applyFill="1" applyBorder="1" applyProtection="1">
      <protection locked="0"/>
    </xf>
    <xf numFmtId="0" fontId="23" fillId="0" borderId="47" xfId="3" applyFont="1" applyFill="1" applyBorder="1" applyAlignment="1" applyProtection="1">
      <alignment vertical="top"/>
    </xf>
    <xf numFmtId="0" fontId="34" fillId="0" borderId="48" xfId="3" applyBorder="1" applyAlignment="1" applyProtection="1">
      <alignment horizontal="center" vertical="top"/>
    </xf>
    <xf numFmtId="0" fontId="34" fillId="0" borderId="11" xfId="3" applyBorder="1" applyAlignment="1" applyProtection="1">
      <alignment horizontal="center" vertical="top"/>
    </xf>
    <xf numFmtId="0" fontId="14" fillId="0" borderId="11" xfId="3" applyFont="1" applyFill="1" applyBorder="1" applyAlignment="1" applyProtection="1"/>
    <xf numFmtId="0" fontId="7" fillId="0" borderId="47" xfId="3" applyFont="1" applyFill="1" applyBorder="1" applyAlignment="1" applyProtection="1"/>
    <xf numFmtId="168" fontId="20" fillId="0" borderId="39" xfId="3" applyNumberFormat="1" applyFont="1" applyFill="1" applyBorder="1" applyProtection="1">
      <protection locked="0"/>
    </xf>
    <xf numFmtId="168" fontId="20" fillId="0" borderId="38" xfId="3" applyNumberFormat="1" applyFont="1" applyFill="1" applyBorder="1" applyProtection="1">
      <protection locked="0"/>
    </xf>
    <xf numFmtId="0" fontId="46" fillId="6" borderId="46" xfId="3" applyFont="1" applyFill="1" applyBorder="1" applyAlignment="1" applyProtection="1">
      <alignment horizontal="center"/>
    </xf>
    <xf numFmtId="0" fontId="46" fillId="6" borderId="45" xfId="3" applyFont="1" applyFill="1" applyBorder="1" applyAlignment="1" applyProtection="1">
      <alignment horizontal="center"/>
    </xf>
    <xf numFmtId="0" fontId="46" fillId="6" borderId="44" xfId="3" applyFont="1" applyFill="1" applyBorder="1" applyAlignment="1" applyProtection="1">
      <alignment horizontal="center"/>
    </xf>
    <xf numFmtId="0" fontId="46" fillId="6" borderId="0" xfId="3" applyFont="1" applyFill="1" applyAlignment="1" applyProtection="1">
      <alignment horizontal="center"/>
    </xf>
    <xf numFmtId="0" fontId="7" fillId="6" borderId="0" xfId="3" applyFont="1" applyFill="1" applyProtection="1"/>
    <xf numFmtId="0" fontId="6" fillId="0" borderId="39" xfId="3" applyFont="1" applyFill="1" applyBorder="1" applyAlignment="1" applyProtection="1">
      <alignment horizontal="center"/>
    </xf>
    <xf numFmtId="0" fontId="6" fillId="0" borderId="38" xfId="3" applyFont="1" applyFill="1" applyBorder="1" applyAlignment="1" applyProtection="1">
      <alignment horizontal="center"/>
    </xf>
    <xf numFmtId="0" fontId="6" fillId="0" borderId="37" xfId="3" applyFont="1" applyFill="1" applyBorder="1" applyAlignment="1" applyProtection="1">
      <alignment horizontal="right"/>
    </xf>
    <xf numFmtId="168" fontId="6" fillId="0" borderId="29" xfId="3" applyNumberFormat="1" applyFont="1" applyFill="1" applyBorder="1" applyProtection="1"/>
    <xf numFmtId="168" fontId="6" fillId="0" borderId="28" xfId="3" applyNumberFormat="1" applyFont="1" applyFill="1" applyBorder="1" applyProtection="1"/>
    <xf numFmtId="0" fontId="6" fillId="0" borderId="47" xfId="3" applyFont="1" applyFill="1" applyBorder="1" applyAlignment="1" applyProtection="1">
      <alignment horizontal="right"/>
    </xf>
    <xf numFmtId="0" fontId="6" fillId="0" borderId="62" xfId="3" applyFont="1" applyFill="1" applyBorder="1" applyAlignment="1" applyProtection="1">
      <alignment horizontal="center"/>
    </xf>
    <xf numFmtId="0" fontId="6" fillId="0" borderId="63" xfId="3" applyFont="1" applyFill="1" applyBorder="1" applyAlignment="1" applyProtection="1">
      <alignment horizontal="center"/>
    </xf>
    <xf numFmtId="0" fontId="46" fillId="6" borderId="32" xfId="3" applyFont="1" applyFill="1" applyBorder="1" applyAlignment="1">
      <alignment horizontal="center"/>
    </xf>
    <xf numFmtId="0" fontId="46" fillId="6" borderId="43" xfId="3" applyFont="1" applyFill="1" applyBorder="1" applyAlignment="1">
      <alignment horizontal="center"/>
    </xf>
    <xf numFmtId="0" fontId="46" fillId="6" borderId="31" xfId="3" applyFont="1" applyFill="1" applyBorder="1" applyAlignment="1">
      <alignment horizontal="center"/>
    </xf>
    <xf numFmtId="0" fontId="34" fillId="0" borderId="30" xfId="3" applyBorder="1" applyAlignment="1">
      <alignment horizontal="centerContinuous"/>
    </xf>
    <xf numFmtId="169" fontId="47" fillId="0" borderId="8" xfId="3" applyNumberFormat="1" applyFont="1" applyFill="1" applyBorder="1" applyAlignment="1" applyProtection="1">
      <alignment horizontal="centerContinuous"/>
    </xf>
    <xf numFmtId="0" fontId="7" fillId="0" borderId="0" xfId="3" applyFont="1" applyFill="1" applyBorder="1" applyProtection="1"/>
    <xf numFmtId="0" fontId="34" fillId="0" borderId="0" xfId="3" applyBorder="1"/>
    <xf numFmtId="0" fontId="9" fillId="0" borderId="8" xfId="3" applyFont="1" applyFill="1" applyBorder="1" applyProtection="1"/>
    <xf numFmtId="169" fontId="14" fillId="0" borderId="8" xfId="3" applyNumberFormat="1" applyFont="1" applyFill="1" applyBorder="1" applyAlignment="1" applyProtection="1">
      <alignment horizontal="centerContinuous"/>
    </xf>
    <xf numFmtId="0" fontId="7" fillId="0" borderId="8" xfId="3" applyFont="1" applyFill="1" applyBorder="1" applyProtection="1"/>
    <xf numFmtId="0" fontId="34" fillId="0" borderId="19" xfId="3" applyBorder="1" applyAlignment="1">
      <alignment horizontal="centerContinuous"/>
    </xf>
    <xf numFmtId="169" fontId="14" fillId="0" borderId="2" xfId="3" applyNumberFormat="1" applyFont="1" applyFill="1" applyBorder="1" applyAlignment="1" applyProtection="1">
      <alignment horizontal="centerContinuous"/>
    </xf>
    <xf numFmtId="0" fontId="7" fillId="0" borderId="3" xfId="3" applyFont="1" applyFill="1" applyBorder="1" applyProtection="1"/>
    <xf numFmtId="0" fontId="34" fillId="0" borderId="3" xfId="3" applyBorder="1"/>
    <xf numFmtId="0" fontId="7" fillId="0" borderId="2" xfId="3" applyFont="1" applyFill="1" applyBorder="1" applyProtection="1"/>
    <xf numFmtId="0" fontId="34" fillId="0" borderId="17" xfId="3" applyBorder="1" applyAlignment="1">
      <alignment horizontal="centerContinuous"/>
    </xf>
    <xf numFmtId="169" fontId="14" fillId="0" borderId="5" xfId="3" applyNumberFormat="1" applyFont="1" applyFill="1" applyBorder="1" applyAlignment="1" applyProtection="1">
      <alignment horizontal="centerContinuous"/>
    </xf>
    <xf numFmtId="0" fontId="7" fillId="0" borderId="1" xfId="3" applyFont="1" applyFill="1" applyBorder="1" applyProtection="1"/>
    <xf numFmtId="0" fontId="34" fillId="0" borderId="1" xfId="3" applyBorder="1"/>
    <xf numFmtId="0" fontId="7" fillId="0" borderId="5" xfId="3" applyFont="1" applyFill="1" applyBorder="1" applyProtection="1"/>
    <xf numFmtId="0" fontId="7" fillId="0" borderId="0" xfId="3" applyFont="1" applyFill="1" applyBorder="1" applyAlignment="1" applyProtection="1"/>
    <xf numFmtId="0" fontId="9" fillId="0" borderId="8" xfId="3" applyFont="1" applyFill="1" applyBorder="1" applyAlignment="1" applyProtection="1"/>
    <xf numFmtId="0" fontId="34" fillId="0" borderId="0" xfId="3" applyFill="1" applyBorder="1"/>
    <xf numFmtId="0" fontId="34" fillId="0" borderId="0" xfId="3" applyFill="1"/>
    <xf numFmtId="0" fontId="7" fillId="0" borderId="0" xfId="3" applyFont="1" applyFill="1" applyBorder="1" applyAlignment="1" applyProtection="1">
      <alignment horizontal="left"/>
    </xf>
    <xf numFmtId="0" fontId="34" fillId="0" borderId="0" xfId="3" applyBorder="1" applyAlignment="1">
      <alignment horizontal="right"/>
    </xf>
    <xf numFmtId="2" fontId="6" fillId="0" borderId="30" xfId="3" applyNumberFormat="1" applyFont="1" applyFill="1" applyBorder="1" applyAlignment="1" applyProtection="1">
      <alignment horizontal="left"/>
    </xf>
    <xf numFmtId="166" fontId="6" fillId="0" borderId="0" xfId="3" applyNumberFormat="1" applyFont="1" applyFill="1" applyBorder="1" applyAlignment="1" applyProtection="1">
      <alignment horizontal="right"/>
    </xf>
    <xf numFmtId="2" fontId="6" fillId="0" borderId="0" xfId="3" applyNumberFormat="1" applyFont="1" applyFill="1" applyBorder="1" applyAlignment="1">
      <alignment horizontal="left"/>
    </xf>
    <xf numFmtId="166" fontId="6" fillId="0" borderId="0" xfId="3" applyNumberFormat="1" applyFont="1" applyFill="1" applyBorder="1" applyProtection="1"/>
    <xf numFmtId="3" fontId="14" fillId="0" borderId="5" xfId="3" applyNumberFormat="1" applyFont="1" applyFill="1" applyBorder="1" applyAlignment="1" applyProtection="1">
      <alignment horizontal="centerContinuous"/>
    </xf>
    <xf numFmtId="0" fontId="7" fillId="0" borderId="30" xfId="3" applyFont="1" applyFill="1" applyBorder="1" applyProtection="1"/>
    <xf numFmtId="0" fontId="33" fillId="0" borderId="0" xfId="3" applyFont="1" applyFill="1" applyBorder="1" applyAlignment="1" applyProtection="1">
      <alignment horizontal="right" vertical="top"/>
    </xf>
    <xf numFmtId="3" fontId="14" fillId="0" borderId="8" xfId="3" applyNumberFormat="1" applyFont="1" applyFill="1" applyBorder="1" applyAlignment="1" applyProtection="1">
      <alignment horizontal="centerContinuous"/>
    </xf>
    <xf numFmtId="0" fontId="6" fillId="0" borderId="30" xfId="3" applyFont="1" applyFill="1" applyBorder="1" applyAlignment="1" applyProtection="1">
      <alignment horizontal="left" vertical="top"/>
    </xf>
    <xf numFmtId="0" fontId="36" fillId="0" borderId="0" xfId="3" applyFont="1" applyFill="1" applyBorder="1" applyAlignment="1" applyProtection="1">
      <alignment horizontal="center" vertical="top"/>
    </xf>
    <xf numFmtId="0" fontId="33" fillId="0" borderId="0" xfId="3" applyFont="1" applyFill="1" applyBorder="1" applyAlignment="1" applyProtection="1">
      <alignment horizontal="center"/>
    </xf>
    <xf numFmtId="0" fontId="7" fillId="7" borderId="0" xfId="3" applyFont="1" applyFill="1" applyProtection="1"/>
    <xf numFmtId="0" fontId="46" fillId="6" borderId="34" xfId="3" applyFont="1" applyFill="1" applyBorder="1" applyAlignment="1">
      <alignment horizontal="centerContinuous"/>
    </xf>
    <xf numFmtId="0" fontId="46" fillId="6" borderId="14" xfId="3" applyFont="1" applyFill="1" applyBorder="1" applyAlignment="1">
      <alignment horizontal="centerContinuous"/>
    </xf>
    <xf numFmtId="0" fontId="46" fillId="6" borderId="13" xfId="3" applyFont="1" applyFill="1" applyBorder="1" applyAlignment="1">
      <alignment horizontal="centerContinuous"/>
    </xf>
    <xf numFmtId="0" fontId="46" fillId="6" borderId="15" xfId="3" applyFont="1" applyFill="1" applyBorder="1" applyAlignment="1">
      <alignment horizontal="centerContinuous"/>
    </xf>
    <xf numFmtId="0" fontId="34" fillId="0" borderId="60" xfId="3" applyNumberFormat="1" applyFont="1" applyFill="1" applyBorder="1" applyAlignment="1" applyProtection="1">
      <alignment horizontal="centerContinuous"/>
    </xf>
    <xf numFmtId="0" fontId="34" fillId="0" borderId="49" xfId="3" applyNumberFormat="1" applyFont="1" applyFill="1" applyBorder="1" applyAlignment="1" applyProtection="1">
      <alignment horizontal="centerContinuous"/>
    </xf>
    <xf numFmtId="168" fontId="34" fillId="0" borderId="49" xfId="3" applyNumberFormat="1" applyFont="1" applyFill="1" applyBorder="1" applyAlignment="1" applyProtection="1">
      <alignment horizontal="centerContinuous"/>
    </xf>
    <xf numFmtId="0" fontId="34" fillId="0" borderId="49" xfId="3" applyNumberFormat="1" applyFont="1" applyFill="1" applyBorder="1" applyProtection="1"/>
    <xf numFmtId="0" fontId="34" fillId="0" borderId="64" xfId="3" applyNumberFormat="1" applyFont="1" applyFill="1" applyBorder="1" applyAlignment="1">
      <alignment horizontal="centerContinuous"/>
    </xf>
    <xf numFmtId="0" fontId="34" fillId="0" borderId="65" xfId="3" applyNumberFormat="1" applyFont="1" applyFill="1" applyBorder="1" applyProtection="1"/>
    <xf numFmtId="0" fontId="34" fillId="0" borderId="64" xfId="3" applyNumberFormat="1" applyFont="1" applyFill="1" applyBorder="1" applyAlignment="1" applyProtection="1">
      <alignment horizontal="centerContinuous"/>
    </xf>
    <xf numFmtId="0" fontId="34" fillId="0" borderId="53" xfId="3" applyNumberFormat="1" applyFont="1" applyFill="1" applyBorder="1" applyProtection="1"/>
    <xf numFmtId="166" fontId="46" fillId="6" borderId="22" xfId="3" applyNumberFormat="1" applyFont="1" applyFill="1" applyBorder="1" applyProtection="1"/>
    <xf numFmtId="0" fontId="46" fillId="6" borderId="20" xfId="3" applyFont="1" applyFill="1" applyBorder="1" applyProtection="1"/>
    <xf numFmtId="0" fontId="34" fillId="0" borderId="15" xfId="3" applyNumberFormat="1" applyFont="1" applyFill="1" applyBorder="1" applyAlignment="1" applyProtection="1">
      <alignment horizontal="centerContinuous"/>
    </xf>
    <xf numFmtId="0" fontId="34" fillId="0" borderId="14" xfId="3" applyNumberFormat="1" applyFont="1" applyFill="1" applyBorder="1" applyAlignment="1" applyProtection="1">
      <alignment horizontal="centerContinuous"/>
    </xf>
    <xf numFmtId="168" fontId="34" fillId="0" borderId="14" xfId="3" applyNumberFormat="1" applyFont="1" applyFill="1" applyBorder="1" applyAlignment="1" applyProtection="1">
      <alignment horizontal="centerContinuous"/>
    </xf>
    <xf numFmtId="0" fontId="34" fillId="0" borderId="14" xfId="3" applyNumberFormat="1" applyFont="1" applyFill="1" applyBorder="1" applyAlignment="1" applyProtection="1"/>
    <xf numFmtId="0" fontId="34" fillId="0" borderId="66" xfId="3" applyNumberFormat="1" applyFont="1" applyFill="1" applyBorder="1" applyAlignment="1">
      <alignment horizontal="centerContinuous"/>
    </xf>
    <xf numFmtId="0" fontId="34" fillId="0" borderId="45" xfId="3" applyNumberFormat="1" applyFont="1" applyFill="1" applyBorder="1" applyAlignment="1">
      <alignment horizontal="centerContinuous"/>
    </xf>
    <xf numFmtId="168" fontId="34" fillId="0" borderId="45" xfId="3" applyNumberFormat="1" applyFont="1" applyFill="1" applyBorder="1" applyAlignment="1" applyProtection="1">
      <alignment horizontal="centerContinuous"/>
    </xf>
    <xf numFmtId="0" fontId="34" fillId="0" borderId="45" xfId="3" applyNumberFormat="1" applyFont="1" applyFill="1" applyBorder="1" applyAlignment="1"/>
    <xf numFmtId="0" fontId="34" fillId="0" borderId="67" xfId="3" applyNumberFormat="1" applyFont="1" applyFill="1" applyBorder="1" applyAlignment="1"/>
    <xf numFmtId="0" fontId="34" fillId="0" borderId="45" xfId="3" applyFont="1" applyFill="1" applyBorder="1" applyAlignment="1">
      <alignment horizontal="centerContinuous"/>
    </xf>
    <xf numFmtId="0" fontId="34" fillId="0" borderId="44" xfId="3" applyNumberFormat="1" applyFont="1" applyFill="1" applyBorder="1" applyAlignment="1" applyProtection="1"/>
    <xf numFmtId="166" fontId="46" fillId="6" borderId="30" xfId="3" applyNumberFormat="1" applyFont="1" applyFill="1" applyBorder="1" applyProtection="1"/>
    <xf numFmtId="0" fontId="46" fillId="6" borderId="33" xfId="3" applyFont="1" applyFill="1" applyBorder="1"/>
    <xf numFmtId="0" fontId="34" fillId="0" borderId="48" xfId="3" applyNumberFormat="1" applyFont="1" applyFill="1" applyBorder="1" applyProtection="1"/>
    <xf numFmtId="0" fontId="34" fillId="0" borderId="11" xfId="3" applyNumberFormat="1" applyFont="1" applyFill="1" applyBorder="1" applyProtection="1"/>
    <xf numFmtId="0" fontId="34" fillId="0" borderId="10" xfId="3" applyNumberFormat="1" applyFont="1" applyFill="1" applyBorder="1" applyProtection="1"/>
    <xf numFmtId="0" fontId="34" fillId="0" borderId="9" xfId="3" applyNumberFormat="1" applyFont="1" applyFill="1" applyBorder="1" applyAlignment="1"/>
    <xf numFmtId="0" fontId="34" fillId="0" borderId="12" xfId="3" applyNumberFormat="1" applyFont="1" applyFill="1" applyBorder="1" applyAlignment="1"/>
    <xf numFmtId="0" fontId="34" fillId="0" borderId="11" xfId="3" applyNumberFormat="1" applyFont="1" applyFill="1" applyBorder="1" applyAlignment="1"/>
    <xf numFmtId="0" fontId="34" fillId="0" borderId="11" xfId="3" applyNumberFormat="1" applyFont="1" applyFill="1" applyBorder="1" applyAlignment="1" applyProtection="1"/>
    <xf numFmtId="0" fontId="34" fillId="0" borderId="10" xfId="3" applyNumberFormat="1" applyFont="1" applyFill="1" applyBorder="1" applyAlignment="1" applyProtection="1"/>
    <xf numFmtId="0" fontId="34" fillId="0" borderId="12" xfId="3" applyNumberFormat="1" applyFont="1" applyFill="1" applyBorder="1" applyAlignment="1" applyProtection="1"/>
    <xf numFmtId="0" fontId="34" fillId="0" borderId="18" xfId="3" applyNumberFormat="1" applyFont="1" applyFill="1" applyBorder="1" applyProtection="1"/>
    <xf numFmtId="166" fontId="46" fillId="6" borderId="15" xfId="3" applyNumberFormat="1" applyFont="1" applyFill="1" applyBorder="1" applyAlignment="1" applyProtection="1"/>
    <xf numFmtId="0" fontId="46" fillId="6" borderId="13" xfId="3" applyFont="1" applyFill="1" applyBorder="1"/>
    <xf numFmtId="0" fontId="34" fillId="0" borderId="48" xfId="3" applyNumberFormat="1" applyFont="1" applyFill="1" applyBorder="1" applyAlignment="1" applyProtection="1"/>
    <xf numFmtId="0" fontId="34" fillId="0" borderId="12" xfId="3" applyNumberFormat="1" applyFont="1" applyFill="1" applyBorder="1"/>
    <xf numFmtId="0" fontId="34" fillId="0" borderId="10" xfId="3" applyNumberFormat="1" applyFont="1" applyFill="1" applyBorder="1"/>
    <xf numFmtId="0" fontId="34" fillId="0" borderId="2" xfId="3" applyNumberFormat="1" applyFont="1" applyFill="1" applyBorder="1" applyAlignment="1" applyProtection="1"/>
    <xf numFmtId="0" fontId="34" fillId="0" borderId="47" xfId="3" applyNumberFormat="1" applyFont="1" applyFill="1" applyBorder="1" applyAlignment="1" applyProtection="1"/>
    <xf numFmtId="0" fontId="46" fillId="6" borderId="32" xfId="3" applyFont="1" applyFill="1" applyBorder="1"/>
    <xf numFmtId="0" fontId="46" fillId="6" borderId="31" xfId="3" applyFont="1" applyFill="1" applyBorder="1"/>
    <xf numFmtId="0" fontId="34" fillId="0" borderId="3" xfId="3" applyFill="1" applyBorder="1"/>
    <xf numFmtId="0" fontId="46" fillId="6" borderId="22" xfId="3" applyFont="1" applyFill="1" applyBorder="1"/>
    <xf numFmtId="0" fontId="46" fillId="6" borderId="20" xfId="3" applyFont="1" applyFill="1" applyBorder="1"/>
    <xf numFmtId="0" fontId="34" fillId="0" borderId="48" xfId="3" applyBorder="1" applyAlignment="1">
      <alignment horizontal="centerContinuous"/>
    </xf>
    <xf numFmtId="3" fontId="14" fillId="0" borderId="10" xfId="3" applyNumberFormat="1" applyFont="1" applyFill="1" applyBorder="1" applyAlignment="1" applyProtection="1">
      <alignment horizontal="centerContinuous"/>
    </xf>
    <xf numFmtId="0" fontId="34" fillId="0" borderId="11" xfId="3" applyFill="1" applyBorder="1"/>
    <xf numFmtId="0" fontId="34" fillId="0" borderId="11" xfId="3" applyBorder="1"/>
    <xf numFmtId="0" fontId="7" fillId="0" borderId="10" xfId="3" applyFont="1" applyFill="1" applyBorder="1" applyProtection="1"/>
    <xf numFmtId="0" fontId="34" fillId="0" borderId="48" xfId="3" applyNumberFormat="1" applyFont="1" applyFill="1" applyBorder="1" applyAlignment="1"/>
    <xf numFmtId="0" fontId="34" fillId="0" borderId="0" xfId="3" applyNumberFormat="1" applyFont="1" applyFill="1" applyBorder="1"/>
    <xf numFmtId="0" fontId="34" fillId="0" borderId="0" xfId="3" applyNumberFormat="1" applyFont="1" applyFill="1" applyBorder="1" applyAlignment="1"/>
    <xf numFmtId="0" fontId="46" fillId="6" borderId="15" xfId="3" applyFont="1" applyFill="1" applyBorder="1"/>
    <xf numFmtId="0" fontId="34" fillId="6" borderId="15" xfId="3" applyFill="1" applyBorder="1" applyAlignment="1">
      <alignment horizontal="centerContinuous"/>
    </xf>
    <xf numFmtId="170" fontId="46" fillId="6" borderId="35" xfId="3" applyNumberFormat="1" applyFont="1" applyFill="1" applyBorder="1" applyAlignment="1" applyProtection="1">
      <alignment horizontal="centerContinuous"/>
    </xf>
    <xf numFmtId="1" fontId="34" fillId="6" borderId="14" xfId="3" applyNumberFormat="1" applyFill="1" applyBorder="1"/>
    <xf numFmtId="0" fontId="34" fillId="6" borderId="14" xfId="3" applyFill="1" applyBorder="1"/>
    <xf numFmtId="0" fontId="46" fillId="6" borderId="14" xfId="3" applyFont="1" applyFill="1" applyBorder="1" applyProtection="1"/>
    <xf numFmtId="14" fontId="34" fillId="0" borderId="46" xfId="3" applyNumberFormat="1" applyFont="1" applyFill="1" applyBorder="1" applyAlignment="1" applyProtection="1">
      <alignment horizontal="centerContinuous" vertical="center"/>
    </xf>
    <xf numFmtId="14" fontId="34" fillId="0" borderId="45" xfId="3" applyNumberFormat="1" applyFont="1" applyFill="1" applyBorder="1" applyAlignment="1" applyProtection="1">
      <alignment horizontal="centerContinuous" vertical="center"/>
    </xf>
    <xf numFmtId="0" fontId="34" fillId="0" borderId="38" xfId="3" applyFont="1" applyFill="1" applyBorder="1" applyAlignment="1">
      <alignment vertical="center"/>
    </xf>
    <xf numFmtId="0" fontId="34" fillId="0" borderId="45" xfId="3" applyNumberFormat="1" applyFont="1" applyFill="1" applyBorder="1" applyAlignment="1" applyProtection="1"/>
    <xf numFmtId="49" fontId="34" fillId="0" borderId="67" xfId="3" applyNumberFormat="1" applyFont="1" applyFill="1" applyBorder="1" applyAlignment="1" applyProtection="1">
      <alignment horizontal="centerContinuous"/>
    </xf>
    <xf numFmtId="0" fontId="34" fillId="0" borderId="38" xfId="3" applyNumberFormat="1" applyFont="1" applyFill="1" applyBorder="1" applyAlignment="1" applyProtection="1"/>
    <xf numFmtId="0" fontId="34" fillId="0" borderId="67" xfId="3" applyNumberFormat="1" applyFont="1" applyFill="1" applyBorder="1" applyAlignment="1" applyProtection="1"/>
    <xf numFmtId="0" fontId="34" fillId="0" borderId="37" xfId="3" applyNumberFormat="1" applyFont="1" applyFill="1" applyBorder="1" applyAlignment="1" applyProtection="1"/>
    <xf numFmtId="0" fontId="6" fillId="2" borderId="0" xfId="3" applyFont="1" applyFill="1" applyProtection="1"/>
    <xf numFmtId="0" fontId="19" fillId="2" borderId="0" xfId="3" applyFont="1" applyFill="1" applyProtection="1"/>
    <xf numFmtId="0" fontId="19" fillId="2" borderId="0" xfId="3" applyFont="1" applyFill="1" applyAlignment="1" applyProtection="1"/>
    <xf numFmtId="0" fontId="6" fillId="0" borderId="0" xfId="3" applyFont="1" applyFill="1" applyProtection="1"/>
    <xf numFmtId="0" fontId="34" fillId="0" borderId="0" xfId="3" applyFill="1" applyBorder="1" applyProtection="1"/>
    <xf numFmtId="0" fontId="34" fillId="0" borderId="33" xfId="3" applyFill="1" applyBorder="1" applyProtection="1"/>
    <xf numFmtId="0" fontId="7" fillId="0" borderId="33" xfId="3" applyFont="1" applyFill="1" applyBorder="1" applyProtection="1"/>
    <xf numFmtId="0" fontId="6" fillId="2" borderId="0" xfId="3" applyFont="1" applyFill="1" applyAlignment="1" applyProtection="1">
      <alignment horizontal="center"/>
    </xf>
    <xf numFmtId="0" fontId="19" fillId="2" borderId="0" xfId="3" applyFont="1" applyFill="1" applyAlignment="1" applyProtection="1">
      <alignment horizontal="center"/>
    </xf>
    <xf numFmtId="0" fontId="6" fillId="0" borderId="0" xfId="3" applyFont="1" applyFill="1" applyAlignment="1" applyProtection="1">
      <alignment horizontal="center"/>
    </xf>
    <xf numFmtId="0" fontId="7" fillId="2" borderId="0" xfId="3" applyFont="1" applyFill="1" applyAlignment="1" applyProtection="1"/>
    <xf numFmtId="0" fontId="7" fillId="0" borderId="0" xfId="3" applyFont="1" applyFill="1" applyAlignment="1" applyProtection="1"/>
    <xf numFmtId="0" fontId="7" fillId="0" borderId="33" xfId="3" applyFont="1" applyFill="1" applyBorder="1" applyAlignment="1" applyProtection="1"/>
    <xf numFmtId="166" fontId="7" fillId="0" borderId="0" xfId="3" applyNumberFormat="1" applyFont="1" applyFill="1" applyBorder="1" applyProtection="1"/>
    <xf numFmtId="166" fontId="7" fillId="0" borderId="33" xfId="3" applyNumberFormat="1" applyFont="1" applyFill="1" applyBorder="1" applyAlignment="1" applyProtection="1">
      <alignment horizontal="center"/>
    </xf>
    <xf numFmtId="166" fontId="7" fillId="0" borderId="33" xfId="3" applyNumberFormat="1" applyFont="1" applyFill="1" applyBorder="1" applyProtection="1"/>
    <xf numFmtId="0" fontId="14" fillId="0" borderId="0" xfId="3" applyFont="1" applyFill="1" applyBorder="1"/>
    <xf numFmtId="0" fontId="14" fillId="0" borderId="0" xfId="3" applyFont="1" applyFill="1" applyBorder="1" applyProtection="1"/>
    <xf numFmtId="0" fontId="23" fillId="0" borderId="29" xfId="3" applyFont="1" applyFill="1" applyBorder="1" applyAlignment="1">
      <alignment horizontal="center"/>
    </xf>
    <xf numFmtId="0" fontId="23" fillId="0" borderId="28" xfId="3" applyFont="1" applyFill="1" applyBorder="1" applyAlignment="1">
      <alignment horizontal="center"/>
    </xf>
    <xf numFmtId="0" fontId="6" fillId="0" borderId="21" xfId="3" applyFont="1" applyFill="1" applyBorder="1"/>
    <xf numFmtId="0" fontId="6" fillId="0" borderId="57" xfId="3" applyFont="1" applyFill="1" applyBorder="1"/>
    <xf numFmtId="0" fontId="7" fillId="0" borderId="22" xfId="3" applyFont="1" applyFill="1" applyBorder="1" applyProtection="1"/>
    <xf numFmtId="168" fontId="14" fillId="0" borderId="49" xfId="3" applyNumberFormat="1" applyFont="1" applyFill="1" applyBorder="1" applyAlignment="1" applyProtection="1">
      <alignment horizontal="centerContinuous"/>
    </xf>
    <xf numFmtId="0" fontId="23" fillId="0" borderId="58" xfId="3" applyFont="1" applyFill="1" applyBorder="1" applyAlignment="1">
      <alignment horizontal="center"/>
    </xf>
    <xf numFmtId="0" fontId="23" fillId="0" borderId="4" xfId="3" applyFont="1" applyFill="1" applyBorder="1" applyAlignment="1">
      <alignment horizontal="center"/>
    </xf>
    <xf numFmtId="0" fontId="6" fillId="0" borderId="9" xfId="3" applyFont="1" applyFill="1" applyBorder="1"/>
    <xf numFmtId="0" fontId="7" fillId="0" borderId="46" xfId="3" applyFont="1" applyFill="1" applyBorder="1" applyProtection="1"/>
    <xf numFmtId="168" fontId="50" fillId="0" borderId="45" xfId="3" applyNumberFormat="1" applyFont="1" applyFill="1" applyBorder="1" applyAlignment="1" applyProtection="1">
      <alignment horizontal="centerContinuous"/>
    </xf>
    <xf numFmtId="168" fontId="50" fillId="0" borderId="45" xfId="3" applyNumberFormat="1" applyFont="1" applyFill="1" applyBorder="1" applyAlignment="1" applyProtection="1">
      <alignment horizontal="centerContinuous"/>
      <protection locked="0"/>
    </xf>
    <xf numFmtId="0" fontId="23" fillId="0" borderId="25" xfId="3" applyFont="1" applyFill="1" applyBorder="1" applyAlignment="1">
      <alignment horizontal="center"/>
    </xf>
    <xf numFmtId="0" fontId="23" fillId="0" borderId="23" xfId="3" applyFont="1" applyFill="1" applyBorder="1" applyAlignment="1">
      <alignment horizontal="center"/>
    </xf>
    <xf numFmtId="0" fontId="6" fillId="0" borderId="1" xfId="3" applyFont="1" applyFill="1" applyBorder="1"/>
    <xf numFmtId="0" fontId="6" fillId="0" borderId="16" xfId="3" applyFont="1" applyFill="1" applyBorder="1"/>
    <xf numFmtId="0" fontId="13" fillId="0" borderId="0" xfId="3" applyFont="1" applyFill="1" applyAlignment="1" applyProtection="1">
      <alignment horizontal="centerContinuous"/>
    </xf>
    <xf numFmtId="0" fontId="34" fillId="0" borderId="19" xfId="3" applyNumberFormat="1" applyFont="1" applyFill="1" applyBorder="1" applyProtection="1"/>
    <xf numFmtId="0" fontId="34" fillId="0" borderId="3" xfId="3" applyNumberFormat="1" applyFont="1" applyFill="1" applyBorder="1" applyProtection="1"/>
    <xf numFmtId="0" fontId="50" fillId="0" borderId="2" xfId="3" applyNumberFormat="1" applyFont="1" applyFill="1" applyBorder="1" applyProtection="1">
      <protection locked="0"/>
    </xf>
    <xf numFmtId="0" fontId="34" fillId="0" borderId="4" xfId="3" applyNumberFormat="1" applyFont="1" applyFill="1" applyBorder="1" applyAlignment="1"/>
    <xf numFmtId="0" fontId="34" fillId="0" borderId="3" xfId="3" applyNumberFormat="1" applyFont="1" applyFill="1" applyBorder="1" applyAlignment="1"/>
    <xf numFmtId="0" fontId="34" fillId="0" borderId="3" xfId="3" applyNumberFormat="1" applyFont="1" applyFill="1" applyBorder="1" applyAlignment="1" applyProtection="1"/>
    <xf numFmtId="0" fontId="50" fillId="0" borderId="2" xfId="3" applyNumberFormat="1" applyFont="1" applyFill="1" applyBorder="1" applyAlignment="1" applyProtection="1">
      <protection locked="0"/>
    </xf>
    <xf numFmtId="0" fontId="34" fillId="0" borderId="4" xfId="3" applyNumberFormat="1" applyFont="1" applyFill="1" applyBorder="1" applyAlignment="1" applyProtection="1"/>
    <xf numFmtId="0" fontId="23" fillId="0" borderId="27" xfId="3" applyFont="1" applyFill="1" applyBorder="1" applyAlignment="1">
      <alignment horizontal="center"/>
    </xf>
    <xf numFmtId="0" fontId="23" fillId="0" borderId="5" xfId="3" applyFont="1" applyFill="1" applyBorder="1" applyAlignment="1">
      <alignment horizontal="center"/>
    </xf>
    <xf numFmtId="0" fontId="6" fillId="0" borderId="1" xfId="3" applyFont="1" applyBorder="1"/>
    <xf numFmtId="0" fontId="50" fillId="0" borderId="10" xfId="3" applyNumberFormat="1" applyFont="1" applyFill="1" applyBorder="1" applyAlignment="1" applyProtection="1">
      <protection locked="0"/>
    </xf>
    <xf numFmtId="0" fontId="14" fillId="0" borderId="2" xfId="3" applyNumberFormat="1" applyFont="1" applyFill="1" applyBorder="1" applyAlignment="1" applyProtection="1"/>
    <xf numFmtId="1" fontId="23" fillId="0" borderId="68" xfId="3" applyNumberFormat="1" applyFont="1" applyFill="1" applyBorder="1" applyAlignment="1">
      <alignment horizontal="center"/>
    </xf>
    <xf numFmtId="1" fontId="23" fillId="0" borderId="8" xfId="3" applyNumberFormat="1" applyFont="1" applyFill="1" applyBorder="1" applyAlignment="1">
      <alignment horizontal="center"/>
    </xf>
    <xf numFmtId="0" fontId="6" fillId="0" borderId="0" xfId="3" applyFont="1" applyBorder="1"/>
    <xf numFmtId="0" fontId="6" fillId="0" borderId="33" xfId="3" applyFont="1" applyFill="1" applyBorder="1"/>
    <xf numFmtId="0" fontId="10" fillId="0" borderId="10" xfId="3" applyNumberFormat="1" applyFont="1" applyFill="1" applyBorder="1" applyAlignment="1" applyProtection="1">
      <protection locked="0"/>
    </xf>
    <xf numFmtId="1" fontId="23" fillId="0" borderId="27" xfId="3" applyNumberFormat="1" applyFont="1" applyFill="1" applyBorder="1" applyAlignment="1">
      <alignment horizontal="center"/>
    </xf>
    <xf numFmtId="1" fontId="23" fillId="0" borderId="5" xfId="3" applyNumberFormat="1" applyFont="1" applyFill="1" applyBorder="1" applyAlignment="1">
      <alignment horizontal="center"/>
    </xf>
    <xf numFmtId="0" fontId="14" fillId="0" borderId="10" xfId="3" applyNumberFormat="1" applyFont="1" applyFill="1" applyBorder="1" applyAlignment="1" applyProtection="1"/>
    <xf numFmtId="0" fontId="10" fillId="0" borderId="11" xfId="3" applyNumberFormat="1" applyFont="1" applyFill="1" applyBorder="1" applyAlignment="1" applyProtection="1">
      <protection locked="0"/>
    </xf>
    <xf numFmtId="14" fontId="10" fillId="0" borderId="46" xfId="3" applyNumberFormat="1" applyFont="1" applyFill="1" applyBorder="1" applyAlignment="1" applyProtection="1">
      <alignment horizontal="centerContinuous" vertical="center"/>
      <protection locked="0"/>
    </xf>
    <xf numFmtId="14" fontId="51" fillId="0" borderId="67" xfId="3" applyNumberFormat="1" applyFont="1" applyFill="1" applyBorder="1" applyAlignment="1" applyProtection="1">
      <alignment horizontal="left" vertical="center"/>
      <protection locked="0"/>
    </xf>
    <xf numFmtId="0" fontId="14" fillId="0" borderId="45" xfId="3" applyNumberFormat="1" applyFont="1" applyFill="1" applyBorder="1" applyAlignment="1" applyProtection="1"/>
    <xf numFmtId="49" fontId="10" fillId="0" borderId="67" xfId="3" applyNumberFormat="1" applyFont="1" applyFill="1" applyBorder="1" applyAlignment="1" applyProtection="1">
      <protection locked="0"/>
    </xf>
    <xf numFmtId="0" fontId="10" fillId="0" borderId="67" xfId="3" applyNumberFormat="1" applyFont="1" applyFill="1" applyBorder="1" applyAlignment="1" applyProtection="1">
      <protection locked="0"/>
    </xf>
    <xf numFmtId="1" fontId="7" fillId="0" borderId="39" xfId="3" applyNumberFormat="1" applyFont="1" applyFill="1" applyBorder="1" applyAlignment="1">
      <alignment horizontal="center"/>
    </xf>
    <xf numFmtId="0" fontId="7" fillId="0" borderId="67" xfId="3" applyFont="1" applyFill="1" applyBorder="1" applyAlignment="1">
      <alignment horizontal="center"/>
    </xf>
    <xf numFmtId="0" fontId="7" fillId="0" borderId="45" xfId="3" applyFont="1" applyBorder="1"/>
    <xf numFmtId="0" fontId="7" fillId="0" borderId="44" xfId="3" applyFont="1" applyFill="1" applyBorder="1"/>
    <xf numFmtId="0" fontId="52" fillId="0" borderId="0" xfId="3" applyFont="1" applyFill="1"/>
    <xf numFmtId="0" fontId="53" fillId="0" borderId="0" xfId="3" applyNumberFormat="1" applyFont="1" applyFill="1" applyBorder="1" applyAlignment="1" applyProtection="1">
      <alignment horizontal="left"/>
    </xf>
    <xf numFmtId="0" fontId="34" fillId="0" borderId="0" xfId="3"/>
    <xf numFmtId="0" fontId="18" fillId="2" borderId="0" xfId="3" applyFont="1" applyFill="1" applyAlignment="1" applyProtection="1">
      <protection locked="0"/>
    </xf>
    <xf numFmtId="1" fontId="46" fillId="6" borderId="14" xfId="3" applyNumberFormat="1" applyFont="1" applyFill="1" applyBorder="1" applyAlignment="1">
      <alignment horizontal="centerContinuous"/>
    </xf>
    <xf numFmtId="0" fontId="52" fillId="6" borderId="14" xfId="3" applyFont="1" applyFill="1" applyBorder="1" applyAlignment="1">
      <alignment horizontal="centerContinuous"/>
    </xf>
    <xf numFmtId="0" fontId="46" fillId="6" borderId="13" xfId="3" applyFont="1" applyFill="1" applyBorder="1" applyAlignment="1">
      <alignment horizontal="left"/>
    </xf>
    <xf numFmtId="0" fontId="13" fillId="0" borderId="0" xfId="3" applyFont="1" applyFill="1" applyBorder="1" applyAlignment="1" applyProtection="1">
      <alignment horizontal="centerContinuous"/>
    </xf>
    <xf numFmtId="0" fontId="54" fillId="0" borderId="51" xfId="3" applyFont="1" applyFill="1" applyBorder="1" applyAlignment="1" applyProtection="1">
      <alignment horizontal="center" vertical="center"/>
      <protection locked="0"/>
    </xf>
    <xf numFmtId="0" fontId="7" fillId="0" borderId="69" xfId="3" applyFont="1" applyFill="1" applyBorder="1" applyAlignment="1" applyProtection="1">
      <alignment horizontal="right" vertical="center"/>
    </xf>
    <xf numFmtId="0" fontId="7" fillId="0" borderId="43" xfId="3" applyFont="1" applyFill="1" applyBorder="1" applyAlignment="1" applyProtection="1">
      <alignment horizontal="centerContinuous"/>
    </xf>
    <xf numFmtId="0" fontId="7" fillId="0" borderId="31" xfId="3" applyFont="1" applyFill="1" applyBorder="1" applyProtection="1"/>
    <xf numFmtId="166" fontId="7" fillId="0" borderId="32" xfId="3" applyNumberFormat="1" applyFont="1" applyFill="1" applyBorder="1" applyProtection="1"/>
    <xf numFmtId="166" fontId="7" fillId="0" borderId="43" xfId="3" applyNumberFormat="1" applyFont="1" applyFill="1" applyBorder="1" applyProtection="1"/>
    <xf numFmtId="0" fontId="34" fillId="0" borderId="43" xfId="3" applyFill="1" applyBorder="1"/>
    <xf numFmtId="166" fontId="55" fillId="0" borderId="43" xfId="3" applyNumberFormat="1" applyFont="1" applyFill="1" applyBorder="1" applyAlignment="1" applyProtection="1">
      <alignment horizontal="left"/>
    </xf>
    <xf numFmtId="0" fontId="34" fillId="0" borderId="43" xfId="3" applyBorder="1"/>
    <xf numFmtId="0" fontId="34" fillId="0" borderId="31" xfId="3" applyBorder="1"/>
    <xf numFmtId="0" fontId="34" fillId="0" borderId="0" xfId="3" applyAlignment="1">
      <alignment horizontal="centerContinuous"/>
    </xf>
    <xf numFmtId="0" fontId="7" fillId="0" borderId="0" xfId="3" applyFont="1" applyFill="1" applyBorder="1" applyAlignment="1" applyProtection="1">
      <alignment horizontal="centerContinuous"/>
    </xf>
    <xf numFmtId="0" fontId="7" fillId="0" borderId="0" xfId="3" applyFont="1" applyFill="1" applyAlignment="1" applyProtection="1">
      <alignment horizontal="centerContinuous"/>
    </xf>
    <xf numFmtId="0" fontId="56" fillId="0" borderId="0" xfId="3" applyFont="1" applyFill="1" applyBorder="1" applyAlignment="1" applyProtection="1">
      <alignment horizontal="centerContinuous"/>
    </xf>
    <xf numFmtId="166" fontId="7" fillId="0" borderId="0" xfId="3" applyNumberFormat="1" applyFont="1" applyFill="1" applyProtection="1"/>
    <xf numFmtId="166" fontId="55" fillId="0" borderId="0" xfId="3" applyNumberFormat="1" applyFont="1" applyFill="1" applyAlignment="1" applyProtection="1">
      <alignment horizontal="left"/>
    </xf>
    <xf numFmtId="49" fontId="57" fillId="0" borderId="0" xfId="3" applyNumberFormat="1" applyFont="1" applyFill="1" applyBorder="1" applyAlignment="1" applyProtection="1">
      <alignment vertical="center"/>
    </xf>
    <xf numFmtId="49" fontId="57" fillId="0" borderId="0" xfId="3" applyNumberFormat="1" applyFont="1" applyFill="1" applyBorder="1" applyProtection="1"/>
    <xf numFmtId="0" fontId="58" fillId="0" borderId="0" xfId="3" applyFont="1" applyFill="1" applyBorder="1" applyAlignment="1" applyProtection="1">
      <alignment horizontal="right" vertical="top"/>
    </xf>
    <xf numFmtId="166" fontId="59" fillId="0" borderId="0" xfId="3" applyNumberFormat="1" applyFont="1" applyFill="1" applyAlignment="1" applyProtection="1"/>
    <xf numFmtId="166" fontId="59" fillId="0" borderId="0" xfId="3" applyNumberFormat="1" applyFont="1" applyFill="1" applyAlignment="1" applyProtection="1">
      <alignment horizontal="centerContinuous"/>
    </xf>
    <xf numFmtId="166" fontId="60" fillId="0" borderId="0" xfId="3" applyNumberFormat="1" applyFont="1" applyFill="1" applyAlignment="1" applyProtection="1">
      <alignment horizontal="left"/>
    </xf>
    <xf numFmtId="0" fontId="62" fillId="0" borderId="0" xfId="4" applyAlignment="1" applyProtection="1">
      <alignment vertical="center"/>
    </xf>
    <xf numFmtId="166" fontId="62" fillId="0" borderId="23" xfId="4" applyNumberFormat="1" applyBorder="1" applyAlignment="1" applyProtection="1">
      <alignment horizontal="center" vertical="center"/>
    </xf>
    <xf numFmtId="166" fontId="62" fillId="0" borderId="23" xfId="4" applyNumberFormat="1" applyBorder="1" applyAlignment="1" applyProtection="1">
      <alignment vertical="center"/>
    </xf>
    <xf numFmtId="0" fontId="34" fillId="0" borderId="23" xfId="3" applyBorder="1" applyAlignment="1">
      <alignment horizontal="center" vertical="center"/>
    </xf>
    <xf numFmtId="0" fontId="62" fillId="0" borderId="22" xfId="4" applyBorder="1" applyAlignment="1" applyProtection="1">
      <alignment vertical="center"/>
    </xf>
    <xf numFmtId="0" fontId="62" fillId="0" borderId="21" xfId="4" applyBorder="1" applyAlignment="1" applyProtection="1">
      <alignment vertical="center"/>
    </xf>
    <xf numFmtId="0" fontId="62" fillId="0" borderId="20" xfId="4" applyBorder="1" applyAlignment="1" applyProtection="1">
      <alignment vertical="center"/>
    </xf>
    <xf numFmtId="0" fontId="62" fillId="0" borderId="30" xfId="4" applyBorder="1" applyAlignment="1" applyProtection="1">
      <alignment vertical="center"/>
    </xf>
    <xf numFmtId="0" fontId="62" fillId="0" borderId="0" xfId="4" applyBorder="1" applyAlignment="1" applyProtection="1">
      <alignment vertical="center"/>
    </xf>
    <xf numFmtId="0" fontId="62" fillId="0" borderId="33" xfId="4" applyBorder="1" applyAlignment="1" applyProtection="1">
      <alignment vertical="center"/>
    </xf>
    <xf numFmtId="0" fontId="62" fillId="0" borderId="33" xfId="4" applyFont="1" applyBorder="1" applyAlignment="1" applyProtection="1">
      <alignment vertical="center"/>
    </xf>
    <xf numFmtId="0" fontId="63" fillId="0" borderId="23" xfId="3" applyFont="1" applyBorder="1" applyAlignment="1">
      <alignment horizontal="center" vertical="center"/>
    </xf>
    <xf numFmtId="0" fontId="64" fillId="0" borderId="23" xfId="4" applyFont="1" applyBorder="1" applyAlignment="1" applyProtection="1">
      <alignment horizontal="center" vertical="center"/>
    </xf>
    <xf numFmtId="0" fontId="62" fillId="0" borderId="15" xfId="4" applyBorder="1" applyAlignment="1" applyProtection="1">
      <alignment vertical="center"/>
    </xf>
    <xf numFmtId="0" fontId="62" fillId="0" borderId="14" xfId="4" applyBorder="1" applyAlignment="1" applyProtection="1">
      <alignment vertical="center"/>
    </xf>
    <xf numFmtId="0" fontId="62" fillId="0" borderId="13" xfId="4" applyBorder="1" applyAlignment="1" applyProtection="1">
      <alignment vertical="center"/>
    </xf>
    <xf numFmtId="0" fontId="34" fillId="0" borderId="22" xfId="3" applyBorder="1" applyAlignment="1" applyProtection="1">
      <alignment vertical="center" wrapText="1"/>
    </xf>
    <xf numFmtId="0" fontId="34" fillId="0" borderId="21" xfId="3" applyBorder="1" applyAlignment="1" applyProtection="1">
      <alignment vertical="center" wrapText="1"/>
    </xf>
    <xf numFmtId="0" fontId="34" fillId="0" borderId="30" xfId="3" applyBorder="1" applyAlignment="1" applyProtection="1">
      <alignment vertical="center" wrapText="1"/>
    </xf>
    <xf numFmtId="0" fontId="34" fillId="0" borderId="23" xfId="3" applyBorder="1" applyAlignment="1" applyProtection="1">
      <alignment horizontal="center" vertical="center" wrapText="1"/>
      <protection locked="0"/>
    </xf>
    <xf numFmtId="0" fontId="34" fillId="0" borderId="70" xfId="3" applyBorder="1" applyProtection="1"/>
    <xf numFmtId="0" fontId="34" fillId="0" borderId="0" xfId="3" applyBorder="1" applyAlignment="1" applyProtection="1">
      <alignment vertical="center"/>
    </xf>
    <xf numFmtId="0" fontId="34" fillId="0" borderId="23" xfId="3" applyBorder="1" applyAlignment="1" applyProtection="1">
      <alignment horizontal="center" vertical="center"/>
      <protection locked="0"/>
    </xf>
    <xf numFmtId="166" fontId="62" fillId="0" borderId="0" xfId="4" applyNumberFormat="1" applyBorder="1" applyAlignment="1" applyProtection="1">
      <alignment vertical="center"/>
    </xf>
    <xf numFmtId="1" fontId="62" fillId="0" borderId="0" xfId="4" applyNumberFormat="1" applyAlignment="1" applyProtection="1">
      <alignment vertical="center"/>
    </xf>
    <xf numFmtId="0" fontId="65" fillId="0" borderId="48" xfId="4" applyFont="1" applyBorder="1" applyAlignment="1" applyProtection="1">
      <alignment vertical="center"/>
    </xf>
    <xf numFmtId="0" fontId="65" fillId="0" borderId="11" xfId="4" applyFont="1" applyBorder="1" applyAlignment="1" applyProtection="1">
      <alignment vertical="center"/>
    </xf>
    <xf numFmtId="9" fontId="65" fillId="0" borderId="10" xfId="5" applyNumberFormat="1" applyFont="1" applyBorder="1" applyAlignment="1" applyProtection="1">
      <alignment horizontal="center" vertical="center"/>
    </xf>
    <xf numFmtId="166" fontId="66" fillId="0" borderId="23" xfId="3" applyNumberFormat="1" applyFont="1" applyBorder="1" applyAlignment="1" applyProtection="1">
      <alignment horizontal="center" vertical="center"/>
    </xf>
    <xf numFmtId="0" fontId="34" fillId="0" borderId="24" xfId="3" applyBorder="1" applyAlignment="1" applyProtection="1">
      <alignment horizontal="center" vertical="center"/>
    </xf>
    <xf numFmtId="0" fontId="65" fillId="0" borderId="10" xfId="4" applyFont="1" applyBorder="1" applyAlignment="1" applyProtection="1">
      <alignment vertical="center"/>
    </xf>
    <xf numFmtId="1" fontId="65" fillId="0" borderId="10" xfId="5" applyNumberFormat="1" applyFont="1" applyBorder="1" applyAlignment="1" applyProtection="1">
      <alignment horizontal="center" vertical="center"/>
    </xf>
    <xf numFmtId="0" fontId="63" fillId="0" borderId="23" xfId="3" applyFont="1" applyBorder="1" applyAlignment="1" applyProtection="1">
      <alignment horizontal="center" vertical="center"/>
    </xf>
    <xf numFmtId="0" fontId="72" fillId="0" borderId="40" xfId="3" applyFont="1" applyBorder="1" applyAlignment="1" applyProtection="1">
      <alignment horizontal="center" vertical="center"/>
    </xf>
    <xf numFmtId="0" fontId="72" fillId="0" borderId="24" xfId="3" applyFont="1" applyBorder="1" applyAlignment="1" applyProtection="1">
      <alignment horizontal="center" vertical="center"/>
    </xf>
    <xf numFmtId="0" fontId="62" fillId="0" borderId="22" xfId="4" applyBorder="1" applyAlignment="1" applyProtection="1">
      <alignment horizontal="center" vertical="center"/>
    </xf>
    <xf numFmtId="0" fontId="62" fillId="0" borderId="42" xfId="4" applyBorder="1" applyAlignment="1" applyProtection="1">
      <alignment horizontal="center" vertical="center"/>
    </xf>
    <xf numFmtId="0" fontId="71" fillId="0" borderId="41" xfId="3" applyFont="1" applyBorder="1" applyAlignment="1" applyProtection="1">
      <alignment horizontal="center" vertical="center"/>
    </xf>
    <xf numFmtId="0" fontId="71" fillId="0" borderId="40" xfId="3" applyFont="1" applyBorder="1" applyAlignment="1" applyProtection="1">
      <alignment horizontal="center" vertical="center"/>
    </xf>
    <xf numFmtId="0" fontId="62" fillId="0" borderId="30" xfId="4" applyBorder="1" applyAlignment="1" applyProtection="1">
      <alignment horizontal="center" vertical="center"/>
    </xf>
    <xf numFmtId="0" fontId="34" fillId="0" borderId="39" xfId="3" applyBorder="1" applyAlignment="1" applyProtection="1">
      <alignment horizontal="center" vertical="center"/>
    </xf>
    <xf numFmtId="0" fontId="62" fillId="0" borderId="38" xfId="4" applyFont="1" applyBorder="1" applyAlignment="1" applyProtection="1">
      <alignment horizontal="center" vertical="center"/>
    </xf>
    <xf numFmtId="0" fontId="34" fillId="0" borderId="38" xfId="3" applyBorder="1" applyAlignment="1" applyProtection="1">
      <alignment horizontal="center" vertical="center"/>
    </xf>
    <xf numFmtId="0" fontId="65" fillId="0" borderId="37" xfId="4" applyFont="1" applyBorder="1" applyAlignment="1" applyProtection="1">
      <alignment horizontal="center" vertical="center" wrapText="1"/>
    </xf>
    <xf numFmtId="0" fontId="34" fillId="0" borderId="0" xfId="3" applyBorder="1" applyAlignment="1" applyProtection="1">
      <alignment horizontal="centerContinuous"/>
    </xf>
    <xf numFmtId="0" fontId="62" fillId="0" borderId="0" xfId="4" applyFont="1" applyBorder="1" applyAlignment="1" applyProtection="1">
      <alignment horizontal="center" vertical="center"/>
    </xf>
    <xf numFmtId="0" fontId="76" fillId="0" borderId="0" xfId="4" applyFont="1" applyBorder="1" applyAlignment="1" applyProtection="1">
      <alignment horizontal="centerContinuous" vertical="center"/>
    </xf>
    <xf numFmtId="0" fontId="71" fillId="0" borderId="0" xfId="3" applyFont="1" applyBorder="1" applyAlignment="1" applyProtection="1">
      <alignment vertical="center"/>
    </xf>
    <xf numFmtId="0" fontId="62" fillId="0" borderId="60" xfId="4" quotePrefix="1" applyFont="1" applyBorder="1" applyAlignment="1" applyProtection="1">
      <alignment horizontal="center" vertical="center"/>
    </xf>
    <xf numFmtId="0" fontId="62" fillId="0" borderId="41" xfId="4" applyFont="1" applyBorder="1" applyAlignment="1" applyProtection="1">
      <alignment horizontal="center" vertical="center"/>
    </xf>
    <xf numFmtId="0" fontId="34" fillId="0" borderId="49" xfId="3" applyBorder="1" applyAlignment="1" applyProtection="1">
      <alignment horizontal="centerContinuous"/>
    </xf>
    <xf numFmtId="0" fontId="62" fillId="0" borderId="49" xfId="4" applyFont="1" applyBorder="1" applyAlignment="1" applyProtection="1">
      <alignment horizontal="centerContinuous" vertical="center"/>
    </xf>
    <xf numFmtId="0" fontId="62" fillId="0" borderId="22" xfId="4" quotePrefix="1" applyFont="1" applyBorder="1" applyAlignment="1" applyProtection="1">
      <alignment horizontal="center" vertical="center"/>
    </xf>
    <xf numFmtId="0" fontId="62" fillId="0" borderId="28" xfId="4" applyFont="1" applyBorder="1" applyAlignment="1" applyProtection="1">
      <alignment horizontal="center" vertical="center"/>
    </xf>
    <xf numFmtId="0" fontId="34" fillId="0" borderId="21" xfId="3" applyBorder="1" applyAlignment="1" applyProtection="1">
      <alignment horizontal="centerContinuous"/>
    </xf>
    <xf numFmtId="0" fontId="62" fillId="0" borderId="72" xfId="4" applyFont="1" applyBorder="1" applyAlignment="1" applyProtection="1">
      <alignment horizontal="centerContinuous" vertical="center"/>
    </xf>
    <xf numFmtId="0" fontId="78" fillId="0" borderId="0" xfId="3" applyFont="1" applyBorder="1" applyAlignment="1" applyProtection="1">
      <alignment horizontal="centerContinuous" vertical="center"/>
    </xf>
    <xf numFmtId="0" fontId="62" fillId="0" borderId="30" xfId="4" quotePrefix="1" applyFont="1" applyBorder="1" applyAlignment="1" applyProtection="1">
      <alignment horizontal="center" vertical="center"/>
    </xf>
    <xf numFmtId="0" fontId="62" fillId="0" borderId="73" xfId="4" applyFont="1" applyBorder="1" applyAlignment="1" applyProtection="1">
      <alignment horizontal="center" vertical="center"/>
    </xf>
    <xf numFmtId="0" fontId="62" fillId="0" borderId="48" xfId="4" quotePrefix="1" applyFont="1" applyBorder="1" applyAlignment="1" applyProtection="1">
      <alignment horizontal="center" vertical="center"/>
    </xf>
    <xf numFmtId="0" fontId="62" fillId="0" borderId="23" xfId="4" applyFont="1" applyBorder="1" applyAlignment="1" applyProtection="1">
      <alignment horizontal="center" vertical="center"/>
    </xf>
    <xf numFmtId="0" fontId="64" fillId="0" borderId="41" xfId="4" applyFont="1" applyBorder="1" applyAlignment="1" applyProtection="1">
      <alignment horizontal="center" vertical="center"/>
    </xf>
    <xf numFmtId="0" fontId="64" fillId="0" borderId="41" xfId="4" applyFont="1" applyFill="1" applyBorder="1" applyAlignment="1" applyProtection="1">
      <alignment horizontal="center" vertical="center"/>
    </xf>
    <xf numFmtId="1" fontId="62" fillId="9" borderId="41" xfId="4" applyNumberFormat="1" applyFont="1" applyFill="1" applyBorder="1" applyAlignment="1" applyProtection="1">
      <alignment horizontal="center" vertical="center"/>
    </xf>
    <xf numFmtId="0" fontId="64" fillId="4" borderId="40" xfId="4" applyFont="1" applyFill="1" applyBorder="1" applyAlignment="1" applyProtection="1">
      <alignment horizontal="center" vertical="center"/>
    </xf>
    <xf numFmtId="0" fontId="62" fillId="0" borderId="22" xfId="4" applyFont="1" applyFill="1" applyBorder="1" applyAlignment="1" applyProtection="1">
      <alignment horizontal="center" vertical="center"/>
    </xf>
    <xf numFmtId="0" fontId="62" fillId="0" borderId="21" xfId="4" applyFont="1" applyFill="1" applyBorder="1" applyAlignment="1" applyProtection="1">
      <alignment horizontal="center" vertical="center"/>
    </xf>
    <xf numFmtId="0" fontId="62" fillId="0" borderId="21" xfId="4" quotePrefix="1" applyFont="1" applyBorder="1" applyAlignment="1" applyProtection="1">
      <alignment horizontal="left" vertical="center"/>
    </xf>
    <xf numFmtId="166" fontId="62" fillId="10" borderId="64" xfId="4" quotePrefix="1" applyNumberFormat="1" applyFont="1" applyFill="1" applyBorder="1" applyAlignment="1" applyProtection="1">
      <alignment horizontal="center" vertical="center"/>
    </xf>
    <xf numFmtId="0" fontId="78" fillId="4" borderId="40" xfId="4" applyFont="1" applyFill="1" applyBorder="1" applyAlignment="1" applyProtection="1">
      <alignment horizontal="center" vertical="center"/>
    </xf>
    <xf numFmtId="166" fontId="62" fillId="0" borderId="22" xfId="4" quotePrefix="1" applyNumberFormat="1" applyFont="1" applyFill="1" applyBorder="1" applyAlignment="1" applyProtection="1">
      <alignment horizontal="center" vertical="center"/>
    </xf>
    <xf numFmtId="0" fontId="78" fillId="0" borderId="20" xfId="4" applyFont="1" applyFill="1" applyBorder="1" applyAlignment="1" applyProtection="1">
      <alignment horizontal="center" vertical="center"/>
    </xf>
    <xf numFmtId="0" fontId="71" fillId="4" borderId="46" xfId="3" applyFont="1" applyFill="1" applyBorder="1" applyAlignment="1" applyProtection="1">
      <alignment horizontal="centerContinuous" vertical="center"/>
    </xf>
    <xf numFmtId="0" fontId="71" fillId="4" borderId="45" xfId="3" applyFont="1" applyFill="1" applyBorder="1" applyAlignment="1" applyProtection="1">
      <alignment horizontal="centerContinuous" vertical="center"/>
    </xf>
    <xf numFmtId="0" fontId="79" fillId="4" borderId="67" xfId="3" applyFont="1" applyFill="1" applyBorder="1" applyAlignment="1" applyProtection="1">
      <alignment horizontal="centerContinuous" vertical="center"/>
    </xf>
    <xf numFmtId="0" fontId="81" fillId="4" borderId="37" xfId="3" applyFont="1" applyFill="1" applyBorder="1" applyAlignment="1" applyProtection="1">
      <alignment horizontal="centerContinuous" vertical="center"/>
    </xf>
    <xf numFmtId="0" fontId="82" fillId="4" borderId="44" xfId="3" applyFont="1" applyFill="1" applyBorder="1" applyAlignment="1" applyProtection="1">
      <alignment horizontal="centerContinuous" vertical="center"/>
    </xf>
    <xf numFmtId="0" fontId="71" fillId="0" borderId="15" xfId="3" applyFont="1" applyFill="1" applyBorder="1" applyAlignment="1" applyProtection="1">
      <alignment vertical="center"/>
    </xf>
    <xf numFmtId="0" fontId="71" fillId="0" borderId="13" xfId="3" quotePrefix="1" applyFont="1" applyFill="1" applyBorder="1" applyAlignment="1" applyProtection="1">
      <alignment horizontal="left" vertical="center"/>
    </xf>
    <xf numFmtId="0" fontId="62" fillId="0" borderId="22" xfId="4" applyBorder="1" applyAlignment="1" applyProtection="1">
      <alignment horizontal="centerContinuous" vertical="center"/>
    </xf>
    <xf numFmtId="0" fontId="62" fillId="0" borderId="21" xfId="4" quotePrefix="1" applyFont="1" applyBorder="1" applyAlignment="1" applyProtection="1">
      <alignment horizontal="centerContinuous" vertical="center"/>
    </xf>
    <xf numFmtId="0" fontId="83" fillId="0" borderId="21" xfId="4" applyFont="1" applyBorder="1" applyAlignment="1" applyProtection="1">
      <alignment horizontal="centerContinuous" vertical="center"/>
    </xf>
    <xf numFmtId="2" fontId="62" fillId="9" borderId="41" xfId="4" applyNumberFormat="1" applyFont="1" applyFill="1" applyBorder="1" applyAlignment="1" applyProtection="1">
      <alignment horizontal="center" vertical="center"/>
    </xf>
    <xf numFmtId="0" fontId="78" fillId="4" borderId="41" xfId="4" applyFont="1" applyFill="1" applyBorder="1" applyAlignment="1" applyProtection="1">
      <alignment horizontal="center" vertical="center"/>
    </xf>
    <xf numFmtId="0" fontId="62" fillId="0" borderId="21" xfId="4" applyBorder="1" applyAlignment="1" applyProtection="1">
      <alignment horizontal="centerContinuous" vertical="center"/>
    </xf>
    <xf numFmtId="0" fontId="78" fillId="4" borderId="70" xfId="4" applyFont="1" applyFill="1" applyBorder="1" applyAlignment="1" applyProtection="1">
      <alignment horizontal="center" vertical="center"/>
    </xf>
    <xf numFmtId="0" fontId="78" fillId="0" borderId="21" xfId="4" quotePrefix="1" applyFont="1" applyFill="1" applyBorder="1" applyAlignment="1" applyProtection="1">
      <alignment horizontal="center" vertical="center"/>
    </xf>
    <xf numFmtId="0" fontId="62" fillId="0" borderId="21" xfId="4" applyFont="1" applyBorder="1" applyAlignment="1" applyProtection="1">
      <alignment horizontal="left" vertical="center"/>
    </xf>
    <xf numFmtId="166" fontId="62" fillId="10" borderId="74" xfId="4" quotePrefix="1" applyNumberFormat="1" applyFont="1" applyFill="1" applyBorder="1" applyAlignment="1" applyProtection="1">
      <alignment horizontal="center" vertical="center"/>
    </xf>
    <xf numFmtId="0" fontId="78" fillId="4" borderId="61" xfId="4" quotePrefix="1" applyFont="1" applyFill="1" applyBorder="1" applyAlignment="1" applyProtection="1">
      <alignment horizontal="center" vertical="center"/>
    </xf>
    <xf numFmtId="166" fontId="62" fillId="9" borderId="64" xfId="4" quotePrefix="1" applyNumberFormat="1" applyFont="1" applyFill="1" applyBorder="1" applyAlignment="1" applyProtection="1">
      <alignment horizontal="center" vertical="center"/>
    </xf>
    <xf numFmtId="0" fontId="78" fillId="4" borderId="40" xfId="4" quotePrefix="1" applyFont="1" applyFill="1" applyBorder="1" applyAlignment="1" applyProtection="1">
      <alignment horizontal="center" vertical="center"/>
    </xf>
    <xf numFmtId="0" fontId="78" fillId="4" borderId="28" xfId="4" quotePrefix="1" applyFont="1" applyFill="1" applyBorder="1" applyAlignment="1" applyProtection="1">
      <alignment horizontal="center" vertical="center"/>
    </xf>
    <xf numFmtId="166" fontId="62" fillId="10" borderId="28" xfId="4" quotePrefix="1" applyNumberFormat="1" applyFont="1" applyFill="1" applyBorder="1" applyAlignment="1" applyProtection="1">
      <alignment horizontal="center" vertical="center"/>
    </xf>
    <xf numFmtId="0" fontId="78" fillId="4" borderId="20" xfId="4" applyFont="1" applyFill="1" applyBorder="1" applyAlignment="1" applyProtection="1">
      <alignment horizontal="center" vertical="center"/>
    </xf>
    <xf numFmtId="0" fontId="78" fillId="0" borderId="20" xfId="4" quotePrefix="1" applyFont="1" applyFill="1" applyBorder="1" applyAlignment="1" applyProtection="1">
      <alignment horizontal="center" vertical="center"/>
    </xf>
    <xf numFmtId="166" fontId="62" fillId="0" borderId="0" xfId="4" applyNumberFormat="1" applyAlignment="1" applyProtection="1">
      <alignment vertical="center"/>
    </xf>
    <xf numFmtId="0" fontId="62" fillId="10" borderId="0" xfId="4" applyFill="1" applyAlignment="1" applyProtection="1">
      <alignment vertical="center"/>
    </xf>
    <xf numFmtId="0" fontId="78" fillId="4" borderId="28" xfId="4" applyFont="1" applyFill="1" applyBorder="1" applyAlignment="1" applyProtection="1">
      <alignment horizontal="center" vertical="center"/>
    </xf>
    <xf numFmtId="0" fontId="78" fillId="4" borderId="61" xfId="4" applyFont="1" applyFill="1" applyBorder="1" applyAlignment="1" applyProtection="1">
      <alignment horizontal="center" vertical="center"/>
    </xf>
    <xf numFmtId="0" fontId="78" fillId="0" borderId="21" xfId="4" applyFont="1" applyFill="1" applyBorder="1" applyAlignment="1" applyProtection="1">
      <alignment horizontal="center" vertical="center"/>
    </xf>
    <xf numFmtId="166" fontId="71" fillId="10" borderId="74" xfId="4" quotePrefix="1" applyNumberFormat="1" applyFont="1" applyFill="1" applyBorder="1" applyAlignment="1" applyProtection="1">
      <alignment horizontal="centerContinuous" vertical="center"/>
    </xf>
    <xf numFmtId="0" fontId="78" fillId="4" borderId="61" xfId="4" applyFont="1" applyFill="1" applyBorder="1" applyAlignment="1" applyProtection="1">
      <alignment horizontal="centerContinuous" vertical="center"/>
    </xf>
    <xf numFmtId="166" fontId="71" fillId="9" borderId="64" xfId="4" quotePrefix="1" applyNumberFormat="1" applyFont="1" applyFill="1" applyBorder="1" applyAlignment="1" applyProtection="1">
      <alignment horizontal="centerContinuous" vertical="center"/>
    </xf>
    <xf numFmtId="0" fontId="78" fillId="4" borderId="40" xfId="4" applyFont="1" applyFill="1" applyBorder="1" applyAlignment="1" applyProtection="1">
      <alignment horizontal="centerContinuous" vertical="center"/>
    </xf>
    <xf numFmtId="169" fontId="62" fillId="0" borderId="0" xfId="4" applyNumberFormat="1" applyAlignment="1" applyProtection="1">
      <alignment vertical="center"/>
    </xf>
    <xf numFmtId="0" fontId="62" fillId="0" borderId="22" xfId="4" applyFont="1" applyFill="1" applyBorder="1" applyAlignment="1" applyProtection="1">
      <alignment horizontal="left" vertical="center"/>
    </xf>
    <xf numFmtId="169" fontId="62" fillId="10" borderId="74" xfId="4" quotePrefix="1" applyNumberFormat="1" applyFont="1" applyFill="1" applyBorder="1" applyAlignment="1" applyProtection="1">
      <alignment horizontal="center" vertical="center"/>
    </xf>
    <xf numFmtId="169" fontId="62" fillId="9" borderId="64" xfId="4" quotePrefix="1" applyNumberFormat="1" applyFont="1" applyFill="1" applyBorder="1" applyAlignment="1" applyProtection="1">
      <alignment horizontal="center" vertical="center"/>
    </xf>
    <xf numFmtId="0" fontId="62" fillId="10" borderId="0" xfId="4" applyFont="1" applyFill="1" applyAlignment="1" applyProtection="1">
      <alignment vertical="center"/>
    </xf>
    <xf numFmtId="0" fontId="71" fillId="0" borderId="60" xfId="3" applyFont="1" applyFill="1" applyBorder="1" applyAlignment="1" applyProtection="1">
      <alignment horizontal="center" vertical="center"/>
    </xf>
    <xf numFmtId="0" fontId="71" fillId="0" borderId="0" xfId="3" applyFont="1" applyFill="1" applyBorder="1" applyAlignment="1" applyProtection="1">
      <alignment horizontal="center" vertical="center"/>
    </xf>
    <xf numFmtId="0" fontId="80" fillId="0" borderId="0" xfId="4" applyFont="1" applyAlignment="1" applyProtection="1">
      <alignment vertical="center"/>
    </xf>
    <xf numFmtId="0" fontId="80" fillId="0" borderId="22" xfId="4" applyFont="1" applyBorder="1" applyAlignment="1" applyProtection="1">
      <alignment vertical="center"/>
    </xf>
    <xf numFmtId="0" fontId="80" fillId="0" borderId="21" xfId="4" applyFont="1" applyBorder="1" applyAlignment="1" applyProtection="1">
      <alignment vertical="center"/>
    </xf>
    <xf numFmtId="0" fontId="80" fillId="0" borderId="20" xfId="4" quotePrefix="1" applyFont="1" applyBorder="1" applyAlignment="1" applyProtection="1">
      <alignment horizontal="left" vertical="center"/>
    </xf>
    <xf numFmtId="0" fontId="80" fillId="0" borderId="21" xfId="3" applyFont="1" applyBorder="1" applyAlignment="1" applyProtection="1">
      <alignment vertical="center"/>
    </xf>
    <xf numFmtId="0" fontId="4" fillId="0" borderId="20" xfId="3" quotePrefix="1" applyFont="1" applyBorder="1" applyAlignment="1" applyProtection="1">
      <alignment horizontal="left" vertical="center"/>
    </xf>
    <xf numFmtId="0" fontId="80" fillId="0" borderId="48" xfId="4" applyFont="1" applyBorder="1" applyAlignment="1" applyProtection="1">
      <alignment vertical="center"/>
    </xf>
    <xf numFmtId="0" fontId="80" fillId="0" borderId="11" xfId="4" applyFont="1" applyBorder="1" applyAlignment="1" applyProtection="1">
      <alignment vertical="center"/>
    </xf>
    <xf numFmtId="0" fontId="35" fillId="0" borderId="47" xfId="3" quotePrefix="1" applyFont="1" applyBorder="1" applyAlignment="1" applyProtection="1">
      <alignment horizontal="left" vertical="center"/>
    </xf>
    <xf numFmtId="0" fontId="80" fillId="0" borderId="0" xfId="4" applyFont="1" applyBorder="1" applyAlignment="1" applyProtection="1">
      <alignment vertical="center"/>
    </xf>
    <xf numFmtId="0" fontId="80" fillId="0" borderId="0" xfId="3" applyFont="1" applyBorder="1" applyAlignment="1" applyProtection="1">
      <alignment vertical="center"/>
    </xf>
    <xf numFmtId="0" fontId="80" fillId="0" borderId="0" xfId="3" quotePrefix="1" applyFont="1" applyBorder="1" applyAlignment="1" applyProtection="1">
      <alignment horizontal="left" vertical="center"/>
    </xf>
    <xf numFmtId="0" fontId="84" fillId="0" borderId="33" xfId="4" applyFont="1" applyBorder="1" applyAlignment="1" applyProtection="1">
      <alignment horizontal="left" vertical="center"/>
    </xf>
    <xf numFmtId="0" fontId="80" fillId="0" borderId="30" xfId="4" applyFont="1" applyBorder="1" applyAlignment="1" applyProtection="1">
      <alignment vertical="center"/>
    </xf>
    <xf numFmtId="0" fontId="80" fillId="0" borderId="33" xfId="4" quotePrefix="1" applyFont="1" applyBorder="1" applyAlignment="1" applyProtection="1">
      <alignment horizontal="left" vertical="center"/>
    </xf>
    <xf numFmtId="0" fontId="12" fillId="0" borderId="0" xfId="3" quotePrefix="1" applyFont="1" applyBorder="1" applyAlignment="1" applyProtection="1">
      <alignment horizontal="left" vertical="center"/>
    </xf>
    <xf numFmtId="0" fontId="84" fillId="0" borderId="33" xfId="4" quotePrefix="1" applyFont="1" applyBorder="1" applyAlignment="1" applyProtection="1">
      <alignment horizontal="left" vertical="center"/>
    </xf>
    <xf numFmtId="0" fontId="80" fillId="0" borderId="47" xfId="4" quotePrefix="1" applyFont="1" applyBorder="1" applyAlignment="1" applyProtection="1">
      <alignment horizontal="left" vertical="center"/>
    </xf>
    <xf numFmtId="0" fontId="71" fillId="0" borderId="0" xfId="4" applyFont="1" applyAlignment="1" applyProtection="1">
      <alignment vertical="center"/>
    </xf>
    <xf numFmtId="0" fontId="71" fillId="0" borderId="46" xfId="4" applyFont="1" applyBorder="1" applyAlignment="1" applyProtection="1">
      <alignment vertical="center"/>
    </xf>
    <xf numFmtId="0" fontId="71" fillId="0" borderId="45" xfId="4" applyFont="1" applyBorder="1" applyAlignment="1" applyProtection="1">
      <alignment vertical="center"/>
    </xf>
    <xf numFmtId="0" fontId="71" fillId="0" borderId="44" xfId="3" applyFont="1" applyBorder="1" applyAlignment="1" applyProtection="1">
      <alignment horizontal="left" vertical="center"/>
    </xf>
    <xf numFmtId="0" fontId="71" fillId="0" borderId="0" xfId="4" applyFont="1" applyBorder="1" applyAlignment="1" applyProtection="1">
      <alignment vertical="center"/>
    </xf>
    <xf numFmtId="0" fontId="84" fillId="0" borderId="13" xfId="3" applyFont="1" applyBorder="1" applyAlignment="1" applyProtection="1">
      <alignment vertical="center"/>
    </xf>
    <xf numFmtId="0" fontId="62" fillId="0" borderId="14" xfId="4" applyFont="1" applyBorder="1" applyAlignment="1" applyProtection="1">
      <alignment horizontal="center" vertical="center"/>
    </xf>
    <xf numFmtId="0" fontId="62" fillId="4" borderId="49" xfId="4" applyFont="1" applyFill="1" applyBorder="1" applyAlignment="1" applyProtection="1">
      <alignment horizontal="center" vertical="center"/>
    </xf>
    <xf numFmtId="0" fontId="62" fillId="4" borderId="75" xfId="4" quotePrefix="1" applyFont="1" applyFill="1" applyBorder="1" applyAlignment="1" applyProtection="1">
      <alignment horizontal="center" vertical="center"/>
    </xf>
    <xf numFmtId="0" fontId="62" fillId="0" borderId="68" xfId="4" applyFont="1" applyBorder="1" applyAlignment="1" applyProtection="1">
      <alignment horizontal="center" vertical="center"/>
    </xf>
    <xf numFmtId="0" fontId="62" fillId="0" borderId="8" xfId="4" applyFont="1" applyBorder="1" applyAlignment="1" applyProtection="1">
      <alignment horizontal="center" vertical="center"/>
    </xf>
    <xf numFmtId="0" fontId="62" fillId="0" borderId="21" xfId="4" applyFont="1" applyBorder="1" applyAlignment="1" applyProtection="1">
      <alignment horizontal="centerContinuous" vertical="center"/>
    </xf>
    <xf numFmtId="0" fontId="62" fillId="0" borderId="53" xfId="4" applyFont="1" applyBorder="1" applyAlignment="1" applyProtection="1">
      <alignment horizontal="centerContinuous" vertical="center"/>
    </xf>
    <xf numFmtId="0" fontId="62" fillId="4" borderId="0" xfId="4" applyFont="1" applyFill="1" applyBorder="1" applyAlignment="1" applyProtection="1">
      <alignment horizontal="center" vertical="center"/>
    </xf>
    <xf numFmtId="0" fontId="62" fillId="4" borderId="55" xfId="4" quotePrefix="1" applyFont="1" applyFill="1" applyBorder="1" applyAlignment="1" applyProtection="1">
      <alignment horizontal="center" vertical="center"/>
    </xf>
    <xf numFmtId="0" fontId="62" fillId="0" borderId="39" xfId="4" quotePrefix="1" applyFont="1" applyBorder="1" applyAlignment="1" applyProtection="1">
      <alignment horizontal="center" vertical="center"/>
    </xf>
    <xf numFmtId="0" fontId="62" fillId="0" borderId="67" xfId="4" quotePrefix="1" applyFont="1" applyBorder="1" applyAlignment="1" applyProtection="1">
      <alignment horizontal="center" vertical="center"/>
    </xf>
    <xf numFmtId="0" fontId="62" fillId="4" borderId="45" xfId="4" quotePrefix="1" applyFont="1" applyFill="1" applyBorder="1" applyAlignment="1" applyProtection="1">
      <alignment horizontal="center" vertical="center"/>
    </xf>
    <xf numFmtId="0" fontId="62" fillId="4" borderId="76" xfId="4" quotePrefix="1" applyFont="1" applyFill="1" applyBorder="1" applyAlignment="1" applyProtection="1">
      <alignment horizontal="center" vertical="center"/>
    </xf>
    <xf numFmtId="0" fontId="34" fillId="0" borderId="0" xfId="3" applyAlignment="1" applyProtection="1">
      <alignment vertical="center"/>
    </xf>
    <xf numFmtId="0" fontId="62" fillId="0" borderId="30" xfId="4" applyFont="1" applyBorder="1" applyAlignment="1" applyProtection="1">
      <alignment horizontal="center" vertical="center"/>
    </xf>
    <xf numFmtId="0" fontId="62" fillId="0" borderId="0" xfId="4" quotePrefix="1" applyFont="1" applyBorder="1" applyAlignment="1" applyProtection="1">
      <alignment horizontal="center" vertical="center"/>
    </xf>
    <xf numFmtId="0" fontId="62" fillId="0" borderId="0" xfId="4" applyBorder="1" applyAlignment="1" applyProtection="1">
      <alignment horizontal="center" vertical="center"/>
    </xf>
    <xf numFmtId="166" fontId="88" fillId="10" borderId="51" xfId="4" applyNumberFormat="1" applyFont="1" applyFill="1" applyBorder="1" applyAlignment="1" applyProtection="1">
      <alignment horizontal="center" vertical="center"/>
    </xf>
    <xf numFmtId="166" fontId="88" fillId="10" borderId="52" xfId="4" applyNumberFormat="1" applyFont="1" applyFill="1" applyBorder="1" applyAlignment="1" applyProtection="1">
      <alignment horizontal="center" vertical="center"/>
    </xf>
    <xf numFmtId="166" fontId="88" fillId="0" borderId="0" xfId="4" applyNumberFormat="1" applyFont="1" applyBorder="1" applyAlignment="1" applyProtection="1">
      <alignment horizontal="center" vertical="center"/>
    </xf>
    <xf numFmtId="166" fontId="88" fillId="12" borderId="51" xfId="4" applyNumberFormat="1" applyFont="1" applyFill="1" applyBorder="1" applyAlignment="1" applyProtection="1">
      <alignment horizontal="center" vertical="center"/>
    </xf>
    <xf numFmtId="166" fontId="88" fillId="12" borderId="52" xfId="4" applyNumberFormat="1" applyFont="1" applyFill="1" applyBorder="1" applyAlignment="1" applyProtection="1">
      <alignment horizontal="center" vertical="center"/>
    </xf>
    <xf numFmtId="166" fontId="88" fillId="10" borderId="46" xfId="4" applyNumberFormat="1" applyFont="1" applyFill="1" applyBorder="1" applyAlignment="1" applyProtection="1">
      <alignment horizontal="center" vertical="center"/>
    </xf>
    <xf numFmtId="166" fontId="88" fillId="10" borderId="66" xfId="4" applyNumberFormat="1" applyFont="1" applyFill="1" applyBorder="1" applyAlignment="1" applyProtection="1">
      <alignment horizontal="center" vertical="center"/>
    </xf>
    <xf numFmtId="172" fontId="88" fillId="10" borderId="69" xfId="4" applyNumberFormat="1" applyFont="1" applyFill="1" applyBorder="1" applyAlignment="1" applyProtection="1">
      <alignment horizontal="center" vertical="center"/>
    </xf>
    <xf numFmtId="166" fontId="88" fillId="12" borderId="46" xfId="4" applyNumberFormat="1" applyFont="1" applyFill="1" applyBorder="1" applyAlignment="1" applyProtection="1">
      <alignment horizontal="center" vertical="center"/>
    </xf>
    <xf numFmtId="166" fontId="88" fillId="12" borderId="66" xfId="4" applyNumberFormat="1" applyFont="1" applyFill="1" applyBorder="1" applyAlignment="1" applyProtection="1">
      <alignment horizontal="center" vertical="center"/>
    </xf>
    <xf numFmtId="0" fontId="70" fillId="4" borderId="77" xfId="4" quotePrefix="1" applyFont="1" applyFill="1" applyBorder="1" applyAlignment="1" applyProtection="1">
      <alignment horizontal="center" vertical="center"/>
    </xf>
    <xf numFmtId="166" fontId="88" fillId="10" borderId="17" xfId="4" applyNumberFormat="1" applyFont="1" applyFill="1" applyBorder="1" applyAlignment="1" applyProtection="1">
      <alignment horizontal="center" vertical="center"/>
    </xf>
    <xf numFmtId="172" fontId="88" fillId="10" borderId="6" xfId="4" applyNumberFormat="1" applyFont="1" applyFill="1" applyBorder="1" applyAlignment="1" applyProtection="1">
      <alignment horizontal="center" vertical="center"/>
    </xf>
    <xf numFmtId="172" fontId="88" fillId="0" borderId="6" xfId="4" applyNumberFormat="1" applyFont="1" applyBorder="1" applyAlignment="1" applyProtection="1">
      <alignment horizontal="center" vertical="center"/>
      <protection locked="0"/>
    </xf>
    <xf numFmtId="166" fontId="88" fillId="12" borderId="17" xfId="4" applyNumberFormat="1" applyFont="1" applyFill="1" applyBorder="1" applyAlignment="1" applyProtection="1">
      <alignment horizontal="center" vertical="center"/>
    </xf>
    <xf numFmtId="172" fontId="88" fillId="12" borderId="6" xfId="4" applyNumberFormat="1" applyFont="1" applyFill="1" applyBorder="1" applyAlignment="1" applyProtection="1">
      <alignment horizontal="center" vertical="center"/>
    </xf>
    <xf numFmtId="0" fontId="62" fillId="4" borderId="78" xfId="4" applyFill="1" applyBorder="1" applyAlignment="1" applyProtection="1">
      <alignment horizontal="center" vertical="center"/>
    </xf>
    <xf numFmtId="0" fontId="89" fillId="4" borderId="27" xfId="4" applyFont="1" applyFill="1" applyBorder="1" applyAlignment="1" applyProtection="1">
      <alignment horizontal="center" vertical="center"/>
    </xf>
    <xf numFmtId="0" fontId="89" fillId="4" borderId="25" xfId="4" quotePrefix="1" applyFont="1" applyFill="1" applyBorder="1" applyAlignment="1" applyProtection="1">
      <alignment horizontal="center" vertical="center"/>
    </xf>
    <xf numFmtId="0" fontId="89" fillId="4" borderId="23" xfId="4" applyFont="1" applyFill="1" applyBorder="1" applyAlignment="1" applyProtection="1">
      <alignment horizontal="center" vertical="center"/>
    </xf>
    <xf numFmtId="0" fontId="84" fillId="4" borderId="11" xfId="4" applyFont="1" applyFill="1" applyBorder="1" applyAlignment="1" applyProtection="1">
      <alignment horizontal="center" vertical="center"/>
    </xf>
    <xf numFmtId="0" fontId="84" fillId="4" borderId="12" xfId="4" applyFont="1" applyFill="1" applyBorder="1" applyAlignment="1" applyProtection="1">
      <alignment horizontal="center" vertical="center"/>
    </xf>
    <xf numFmtId="0" fontId="89" fillId="4" borderId="23" xfId="4" quotePrefix="1" applyFont="1" applyFill="1" applyBorder="1" applyAlignment="1" applyProtection="1">
      <alignment horizontal="center" vertical="center"/>
    </xf>
    <xf numFmtId="0" fontId="84" fillId="4" borderId="78" xfId="4" applyFont="1" applyFill="1" applyBorder="1" applyAlignment="1" applyProtection="1">
      <alignment horizontal="center" vertical="center"/>
    </xf>
    <xf numFmtId="0" fontId="90" fillId="4" borderId="54" xfId="4" applyFont="1" applyFill="1" applyBorder="1" applyAlignment="1" applyProtection="1">
      <alignment horizontal="centerContinuous" vertical="center"/>
    </xf>
    <xf numFmtId="0" fontId="84" fillId="4" borderId="76" xfId="4" applyFont="1" applyFill="1" applyBorder="1" applyAlignment="1" applyProtection="1">
      <alignment horizontal="center" vertical="center"/>
    </xf>
    <xf numFmtId="0" fontId="62" fillId="4" borderId="15" xfId="4" applyFont="1" applyFill="1" applyBorder="1" applyAlignment="1" applyProtection="1">
      <alignment horizontal="center" vertical="center"/>
    </xf>
    <xf numFmtId="0" fontId="62" fillId="4" borderId="62" xfId="4" applyFont="1" applyFill="1" applyBorder="1" applyAlignment="1" applyProtection="1">
      <alignment horizontal="center" vertical="center"/>
    </xf>
    <xf numFmtId="0" fontId="62" fillId="4" borderId="14" xfId="4" applyFont="1" applyFill="1" applyBorder="1" applyAlignment="1" applyProtection="1">
      <alignment horizontal="center" vertical="center"/>
    </xf>
    <xf numFmtId="0" fontId="62" fillId="4" borderId="71" xfId="4" applyFont="1" applyFill="1" applyBorder="1" applyAlignment="1" applyProtection="1">
      <alignment horizontal="center" vertical="center"/>
    </xf>
    <xf numFmtId="0" fontId="62" fillId="4" borderId="63" xfId="4" applyFont="1" applyFill="1" applyBorder="1" applyAlignment="1" applyProtection="1">
      <alignment horizontal="center" vertical="center"/>
    </xf>
    <xf numFmtId="0" fontId="91" fillId="4" borderId="64" xfId="3" applyFont="1" applyFill="1" applyBorder="1" applyAlignment="1" applyProtection="1">
      <alignment horizontal="center" vertical="center"/>
    </xf>
    <xf numFmtId="0" fontId="91" fillId="4" borderId="49" xfId="3" applyFont="1" applyFill="1" applyBorder="1" applyAlignment="1" applyProtection="1">
      <alignment vertical="center"/>
    </xf>
    <xf numFmtId="0" fontId="91" fillId="4" borderId="65" xfId="3" applyFont="1" applyFill="1" applyBorder="1" applyAlignment="1" applyProtection="1">
      <alignment vertical="center"/>
    </xf>
    <xf numFmtId="0" fontId="93" fillId="0" borderId="49" xfId="4" applyFont="1" applyBorder="1" applyAlignment="1" applyProtection="1">
      <alignment horizontal="center" vertical="center"/>
      <protection locked="0"/>
    </xf>
    <xf numFmtId="0" fontId="91" fillId="4" borderId="12" xfId="3" applyFont="1" applyFill="1" applyBorder="1" applyAlignment="1" applyProtection="1">
      <alignment horizontal="center" vertical="center"/>
    </xf>
    <xf numFmtId="0" fontId="91" fillId="4" borderId="11" xfId="3" applyFont="1" applyFill="1" applyBorder="1" applyAlignment="1" applyProtection="1">
      <alignment vertical="center"/>
    </xf>
    <xf numFmtId="0" fontId="91" fillId="4" borderId="10" xfId="3" applyFont="1" applyFill="1" applyBorder="1" applyAlignment="1" applyProtection="1">
      <alignment vertical="center"/>
    </xf>
    <xf numFmtId="0" fontId="91" fillId="4" borderId="12" xfId="3" applyFont="1" applyFill="1" applyBorder="1" applyAlignment="1" applyProtection="1">
      <alignment vertical="center"/>
    </xf>
    <xf numFmtId="0" fontId="91" fillId="4" borderId="66" xfId="3" applyFont="1" applyFill="1" applyBorder="1" applyAlignment="1" applyProtection="1">
      <alignment vertical="center"/>
    </xf>
    <xf numFmtId="0" fontId="91" fillId="4" borderId="45" xfId="3" applyFont="1" applyFill="1" applyBorder="1" applyAlignment="1" applyProtection="1">
      <alignment vertical="center"/>
    </xf>
    <xf numFmtId="0" fontId="91" fillId="4" borderId="67" xfId="3" applyFont="1" applyFill="1" applyBorder="1" applyAlignment="1" applyProtection="1">
      <alignment vertical="center"/>
    </xf>
    <xf numFmtId="0" fontId="76" fillId="0" borderId="79" xfId="4" applyFont="1" applyBorder="1" applyAlignment="1" applyProtection="1">
      <alignment horizontal="center" vertical="center" wrapText="1"/>
    </xf>
    <xf numFmtId="0" fontId="37" fillId="0" borderId="37" xfId="0" applyFont="1" applyFill="1" applyBorder="1" applyAlignment="1">
      <alignment horizontal="center" vertical="top" wrapText="1"/>
    </xf>
    <xf numFmtId="0" fontId="37" fillId="0" borderId="38" xfId="0" applyFont="1" applyFill="1" applyBorder="1" applyAlignment="1">
      <alignment horizontal="center" vertical="top" wrapText="1"/>
    </xf>
    <xf numFmtId="0" fontId="37" fillId="0" borderId="39" xfId="0" applyFont="1" applyFill="1" applyBorder="1" applyAlignment="1">
      <alignment horizontal="center" vertical="top" wrapText="1"/>
    </xf>
    <xf numFmtId="0" fontId="29" fillId="0" borderId="0" xfId="0" applyFont="1" applyFill="1"/>
    <xf numFmtId="0" fontId="1" fillId="13" borderId="0" xfId="7" applyFill="1"/>
    <xf numFmtId="0" fontId="100" fillId="13" borderId="0" xfId="7" applyFont="1" applyFill="1" applyBorder="1"/>
    <xf numFmtId="0" fontId="1" fillId="13" borderId="0" xfId="7" applyFill="1" applyBorder="1"/>
    <xf numFmtId="3" fontId="101" fillId="0" borderId="25" xfId="7" applyNumberFormat="1" applyFont="1" applyBorder="1" applyAlignment="1">
      <alignment horizontal="center" vertical="center"/>
    </xf>
    <xf numFmtId="4" fontId="101" fillId="0" borderId="23" xfId="7" applyNumberFormat="1" applyFont="1" applyFill="1" applyBorder="1" applyAlignment="1">
      <alignment horizontal="center" vertical="center" wrapText="1"/>
    </xf>
    <xf numFmtId="4" fontId="101" fillId="0" borderId="27" xfId="7" applyNumberFormat="1" applyFont="1" applyFill="1" applyBorder="1" applyAlignment="1">
      <alignment horizontal="center" vertical="center"/>
    </xf>
    <xf numFmtId="3" fontId="101" fillId="0" borderId="23" xfId="7" applyNumberFormat="1" applyFont="1" applyFill="1" applyBorder="1" applyAlignment="1">
      <alignment horizontal="center" vertical="center" wrapText="1"/>
    </xf>
    <xf numFmtId="4" fontId="102" fillId="0" borderId="23" xfId="7" applyNumberFormat="1" applyFont="1" applyFill="1" applyBorder="1" applyAlignment="1">
      <alignment horizontal="center" vertical="center" wrapText="1"/>
    </xf>
    <xf numFmtId="4" fontId="102" fillId="0" borderId="24" xfId="7" applyNumberFormat="1" applyFont="1" applyFill="1" applyBorder="1" applyAlignment="1">
      <alignment horizontal="center" vertical="center" wrapText="1"/>
    </xf>
    <xf numFmtId="0" fontId="102" fillId="14" borderId="23" xfId="7" applyFont="1" applyFill="1" applyBorder="1" applyAlignment="1">
      <alignment vertical="center" wrapText="1"/>
    </xf>
    <xf numFmtId="0" fontId="102" fillId="14" borderId="24" xfId="7" applyFont="1" applyFill="1" applyBorder="1" applyAlignment="1">
      <alignment vertical="center" wrapText="1"/>
    </xf>
    <xf numFmtId="4" fontId="101" fillId="0" borderId="27" xfId="7" applyNumberFormat="1" applyFont="1" applyBorder="1" applyAlignment="1">
      <alignment horizontal="center" vertical="center"/>
    </xf>
    <xf numFmtId="0" fontId="101" fillId="14" borderId="59" xfId="7" applyFont="1" applyFill="1" applyBorder="1" applyAlignment="1">
      <alignment horizontal="left" vertical="center" wrapText="1"/>
    </xf>
    <xf numFmtId="0" fontId="101" fillId="14" borderId="37" xfId="7" applyFont="1" applyFill="1" applyBorder="1" applyAlignment="1">
      <alignment horizontal="center" vertical="center" wrapText="1"/>
    </xf>
    <xf numFmtId="0" fontId="101" fillId="14" borderId="61" xfId="7" applyFont="1" applyFill="1" applyBorder="1" applyAlignment="1">
      <alignment horizontal="center" vertical="center" wrapText="1"/>
    </xf>
    <xf numFmtId="0" fontId="101" fillId="14" borderId="59" xfId="7" applyFont="1" applyFill="1" applyBorder="1" applyAlignment="1">
      <alignment horizontal="center" vertical="center" wrapText="1"/>
    </xf>
    <xf numFmtId="1" fontId="101" fillId="0" borderId="59" xfId="7" applyNumberFormat="1" applyFont="1" applyBorder="1" applyAlignment="1">
      <alignment horizontal="center" vertical="center" wrapText="1"/>
    </xf>
    <xf numFmtId="0" fontId="101" fillId="14" borderId="24" xfId="7" applyFont="1" applyFill="1" applyBorder="1" applyAlignment="1">
      <alignment horizontal="left" vertical="center" wrapText="1"/>
    </xf>
    <xf numFmtId="1" fontId="101" fillId="0" borderId="27" xfId="7" applyNumberFormat="1" applyFont="1" applyBorder="1" applyAlignment="1">
      <alignment horizontal="center" vertical="center"/>
    </xf>
    <xf numFmtId="1" fontId="101" fillId="0" borderId="26" xfId="7" applyNumberFormat="1" applyFont="1" applyBorder="1" applyAlignment="1">
      <alignment horizontal="center" vertical="center"/>
    </xf>
    <xf numFmtId="0" fontId="101" fillId="14" borderId="27" xfId="7" applyFont="1" applyFill="1" applyBorder="1" applyAlignment="1">
      <alignment horizontal="center" vertical="center"/>
    </xf>
    <xf numFmtId="0" fontId="101" fillId="14" borderId="26" xfId="7" applyFont="1" applyFill="1" applyBorder="1" applyAlignment="1">
      <alignment horizontal="center" vertical="center"/>
    </xf>
    <xf numFmtId="0" fontId="105" fillId="13" borderId="0" xfId="7" applyFont="1" applyFill="1" applyBorder="1" applyAlignment="1">
      <alignment vertical="center"/>
    </xf>
    <xf numFmtId="0" fontId="44" fillId="0" borderId="10" xfId="0" applyFont="1" applyBorder="1" applyAlignment="1">
      <alignment horizontal="center" vertical="center"/>
    </xf>
    <xf numFmtId="0" fontId="44" fillId="0" borderId="2" xfId="0" applyFont="1" applyBorder="1" applyAlignment="1">
      <alignment horizontal="center" vertical="center"/>
    </xf>
    <xf numFmtId="0" fontId="44" fillId="0" borderId="4" xfId="0" applyFont="1" applyBorder="1" applyAlignment="1">
      <alignment horizontal="center" vertical="center"/>
    </xf>
    <xf numFmtId="0" fontId="44" fillId="0" borderId="23" xfId="0" applyFont="1" applyBorder="1" applyAlignment="1">
      <alignment horizontal="center" vertical="center"/>
    </xf>
    <xf numFmtId="0" fontId="44" fillId="0" borderId="12" xfId="0" applyFont="1" applyBorder="1" applyAlignment="1">
      <alignment horizontal="center" vertical="center" wrapText="1"/>
    </xf>
    <xf numFmtId="0" fontId="34" fillId="0" borderId="33" xfId="0" applyFont="1" applyFill="1" applyBorder="1" applyProtection="1"/>
    <xf numFmtId="49" fontId="43" fillId="0" borderId="24" xfId="0" applyNumberFormat="1" applyFont="1" applyFill="1" applyBorder="1" applyAlignment="1" applyProtection="1">
      <alignment vertical="top" wrapText="1"/>
      <protection locked="0"/>
    </xf>
    <xf numFmtId="0" fontId="106" fillId="0" borderId="0" xfId="8"/>
    <xf numFmtId="0" fontId="106" fillId="0" borderId="0" xfId="8" applyAlignment="1">
      <alignment horizontal="center" vertical="center" wrapText="1"/>
    </xf>
    <xf numFmtId="0" fontId="107" fillId="0" borderId="23" xfId="8" applyFont="1" applyBorder="1" applyAlignment="1">
      <alignment horizontal="center" vertical="center" wrapText="1"/>
    </xf>
    <xf numFmtId="0" fontId="108" fillId="0" borderId="82" xfId="8" applyFont="1" applyBorder="1" applyAlignment="1">
      <alignment horizontal="center" vertical="center"/>
    </xf>
    <xf numFmtId="0" fontId="107" fillId="0" borderId="86" xfId="8" applyFont="1" applyBorder="1"/>
    <xf numFmtId="0" fontId="107" fillId="0" borderId="86" xfId="8" applyFont="1" applyBorder="1" applyAlignment="1">
      <alignment horizontal="center" vertical="center"/>
    </xf>
    <xf numFmtId="0" fontId="29" fillId="0" borderId="0" xfId="0" applyFont="1" applyFill="1" applyAlignment="1">
      <alignment horizontal="left" vertical="center" wrapText="1"/>
    </xf>
    <xf numFmtId="0" fontId="29" fillId="0" borderId="80"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29" fillId="0" borderId="81" xfId="0" applyFont="1" applyFill="1" applyBorder="1" applyAlignment="1">
      <alignment horizontal="left" vertical="center" wrapText="1"/>
    </xf>
    <xf numFmtId="0" fontId="7" fillId="0" borderId="13" xfId="0" applyFont="1" applyFill="1" applyBorder="1" applyAlignment="1" applyProtection="1">
      <alignment horizontal="center"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7" fillId="0" borderId="33"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30" xfId="0" applyFont="1" applyFill="1" applyBorder="1" applyAlignment="1" applyProtection="1">
      <alignment horizontal="center" vertical="center"/>
    </xf>
    <xf numFmtId="0" fontId="97" fillId="0" borderId="31" xfId="4" applyFont="1" applyBorder="1" applyAlignment="1" applyProtection="1">
      <alignment horizontal="center" vertical="center"/>
    </xf>
    <xf numFmtId="0" fontId="97" fillId="0" borderId="69" xfId="4" applyFont="1" applyBorder="1" applyAlignment="1" applyProtection="1">
      <alignment horizontal="center" vertical="center"/>
    </xf>
    <xf numFmtId="0" fontId="96" fillId="0" borderId="79" xfId="4" applyFont="1" applyBorder="1" applyAlignment="1" applyProtection="1">
      <alignment horizontal="center" vertical="center"/>
    </xf>
    <xf numFmtId="0" fontId="96" fillId="0" borderId="43" xfId="4" applyFont="1" applyBorder="1" applyAlignment="1" applyProtection="1">
      <alignment horizontal="center" vertical="center"/>
    </xf>
    <xf numFmtId="0" fontId="96" fillId="0" borderId="69" xfId="4" applyFont="1" applyBorder="1" applyAlignment="1" applyProtection="1">
      <alignment horizontal="center" vertical="center"/>
    </xf>
    <xf numFmtId="49" fontId="62" fillId="11" borderId="43" xfId="4" applyNumberFormat="1" applyFont="1" applyFill="1" applyBorder="1" applyAlignment="1" applyProtection="1">
      <alignment horizontal="center" vertical="center"/>
      <protection locked="0"/>
    </xf>
    <xf numFmtId="49" fontId="62" fillId="11" borderId="69" xfId="4" applyNumberFormat="1" applyFill="1" applyBorder="1" applyAlignment="1" applyProtection="1">
      <alignment horizontal="center" vertical="center"/>
      <protection locked="0"/>
    </xf>
    <xf numFmtId="0" fontId="62" fillId="0" borderId="79" xfId="4" applyFont="1" applyBorder="1" applyAlignment="1" applyProtection="1">
      <alignment horizontal="center" vertical="center"/>
    </xf>
    <xf numFmtId="0" fontId="62" fillId="0" borderId="32" xfId="4" applyFont="1" applyBorder="1" applyAlignment="1" applyProtection="1">
      <alignment horizontal="center" vertical="center"/>
    </xf>
    <xf numFmtId="0" fontId="91" fillId="4" borderId="44" xfId="3" quotePrefix="1" applyFont="1" applyFill="1" applyBorder="1" applyAlignment="1" applyProtection="1">
      <alignment horizontal="left" vertical="center"/>
    </xf>
    <xf numFmtId="0" fontId="91" fillId="4" borderId="66" xfId="3" quotePrefix="1" applyFont="1" applyFill="1" applyBorder="1" applyAlignment="1" applyProtection="1">
      <alignment horizontal="left" vertical="center"/>
    </xf>
    <xf numFmtId="0" fontId="95" fillId="0" borderId="67" xfId="3" applyFont="1" applyBorder="1" applyAlignment="1" applyProtection="1">
      <alignment horizontal="center" vertical="center"/>
      <protection locked="0"/>
    </xf>
    <xf numFmtId="0" fontId="95" fillId="0" borderId="66" xfId="3" applyFont="1" applyBorder="1" applyAlignment="1" applyProtection="1">
      <alignment horizontal="center" vertical="center"/>
      <protection locked="0"/>
    </xf>
    <xf numFmtId="0" fontId="71" fillId="0" borderId="45" xfId="3" applyFont="1" applyBorder="1" applyAlignment="1" applyProtection="1">
      <alignment horizontal="center" vertical="center"/>
      <protection locked="0"/>
    </xf>
    <xf numFmtId="0" fontId="71" fillId="0" borderId="66" xfId="3" applyFont="1" applyBorder="1" applyAlignment="1" applyProtection="1">
      <alignment horizontal="center" vertical="center"/>
      <protection locked="0"/>
    </xf>
    <xf numFmtId="0" fontId="91" fillId="4" borderId="67" xfId="3" applyFont="1" applyFill="1" applyBorder="1" applyAlignment="1" applyProtection="1">
      <alignment vertical="center"/>
    </xf>
    <xf numFmtId="0" fontId="91" fillId="4" borderId="45" xfId="3" applyFont="1" applyFill="1" applyBorder="1" applyAlignment="1" applyProtection="1">
      <alignment vertical="center"/>
    </xf>
    <xf numFmtId="0" fontId="91" fillId="4" borderId="66" xfId="3" applyFont="1" applyFill="1" applyBorder="1" applyAlignment="1" applyProtection="1">
      <alignment vertical="center"/>
    </xf>
    <xf numFmtId="0" fontId="71" fillId="0" borderId="67" xfId="3" applyFont="1" applyBorder="1" applyAlignment="1" applyProtection="1">
      <alignment horizontal="center" vertical="center"/>
      <protection locked="0"/>
    </xf>
    <xf numFmtId="0" fontId="71" fillId="0" borderId="46" xfId="3" applyFont="1" applyBorder="1" applyAlignment="1" applyProtection="1">
      <alignment horizontal="center" vertical="center"/>
      <protection locked="0"/>
    </xf>
    <xf numFmtId="0" fontId="91" fillId="4" borderId="53" xfId="4" applyFont="1" applyFill="1" applyBorder="1" applyAlignment="1" applyProtection="1">
      <alignment horizontal="left" vertical="center"/>
    </xf>
    <xf numFmtId="0" fontId="91" fillId="4" borderId="64" xfId="4" applyFont="1" applyFill="1" applyBorder="1" applyAlignment="1" applyProtection="1">
      <alignment horizontal="left" vertical="center"/>
    </xf>
    <xf numFmtId="0" fontId="71" fillId="11" borderId="49" xfId="3" applyFont="1" applyFill="1" applyBorder="1" applyAlignment="1" applyProtection="1">
      <alignment horizontal="center" vertical="center"/>
      <protection locked="0"/>
    </xf>
    <xf numFmtId="0" fontId="71" fillId="11" borderId="64" xfId="3" applyFont="1" applyFill="1" applyBorder="1" applyAlignment="1" applyProtection="1">
      <alignment horizontal="center" vertical="center"/>
      <protection locked="0"/>
    </xf>
    <xf numFmtId="0" fontId="91" fillId="4" borderId="65" xfId="3" applyFont="1" applyFill="1" applyBorder="1" applyAlignment="1" applyProtection="1">
      <alignment vertical="center"/>
    </xf>
    <xf numFmtId="0" fontId="91" fillId="4" borderId="49" xfId="3" applyFont="1" applyFill="1" applyBorder="1" applyAlignment="1" applyProtection="1">
      <alignment vertical="center"/>
    </xf>
    <xf numFmtId="0" fontId="91" fillId="4" borderId="64" xfId="3" applyFont="1" applyFill="1" applyBorder="1" applyAlignment="1" applyProtection="1">
      <alignment vertical="center"/>
    </xf>
    <xf numFmtId="0" fontId="71" fillId="0" borderId="65" xfId="3" applyFont="1" applyBorder="1" applyAlignment="1" applyProtection="1">
      <alignment horizontal="left" vertical="center"/>
      <protection locked="0"/>
    </xf>
    <xf numFmtId="0" fontId="71" fillId="0" borderId="49" xfId="3" applyFont="1" applyBorder="1" applyAlignment="1" applyProtection="1">
      <alignment horizontal="left" vertical="center"/>
      <protection locked="0"/>
    </xf>
    <xf numFmtId="0" fontId="71" fillId="0" borderId="60" xfId="3" applyFont="1" applyBorder="1" applyAlignment="1" applyProtection="1">
      <alignment horizontal="left" vertical="center"/>
      <protection locked="0"/>
    </xf>
    <xf numFmtId="0" fontId="62" fillId="0" borderId="45" xfId="4" applyFont="1" applyFill="1" applyBorder="1" applyAlignment="1" applyProtection="1">
      <alignment horizontal="center" vertical="center"/>
      <protection locked="0"/>
    </xf>
    <xf numFmtId="0" fontId="62" fillId="0" borderId="46" xfId="4" applyFont="1" applyFill="1" applyBorder="1" applyAlignment="1" applyProtection="1">
      <alignment horizontal="center" vertical="center"/>
      <protection locked="0"/>
    </xf>
    <xf numFmtId="0" fontId="91" fillId="4" borderId="47" xfId="3" applyFont="1" applyFill="1" applyBorder="1" applyAlignment="1" applyProtection="1">
      <alignment horizontal="left" vertical="center"/>
    </xf>
    <xf numFmtId="0" fontId="91" fillId="4" borderId="12" xfId="3" quotePrefix="1" applyFont="1" applyFill="1" applyBorder="1" applyAlignment="1" applyProtection="1">
      <alignment horizontal="left" vertical="center"/>
    </xf>
    <xf numFmtId="11" fontId="71" fillId="0" borderId="10" xfId="3" applyNumberFormat="1" applyFont="1" applyBorder="1" applyAlignment="1" applyProtection="1">
      <alignment horizontal="center" vertical="center"/>
      <protection locked="0"/>
    </xf>
    <xf numFmtId="0" fontId="71" fillId="0" borderId="12" xfId="3" applyFont="1" applyBorder="1" applyAlignment="1" applyProtection="1">
      <alignment horizontal="center" vertical="center"/>
      <protection locked="0"/>
    </xf>
    <xf numFmtId="0" fontId="71" fillId="0" borderId="11" xfId="3" applyFont="1" applyBorder="1" applyAlignment="1" applyProtection="1">
      <alignment horizontal="center" vertical="center"/>
      <protection locked="0"/>
    </xf>
    <xf numFmtId="0" fontId="91" fillId="4" borderId="10" xfId="3" applyFont="1" applyFill="1" applyBorder="1" applyAlignment="1" applyProtection="1">
      <alignment vertical="center"/>
    </xf>
    <xf numFmtId="0" fontId="91" fillId="4" borderId="11" xfId="3" applyFont="1" applyFill="1" applyBorder="1" applyAlignment="1" applyProtection="1">
      <alignment vertical="center"/>
    </xf>
    <xf numFmtId="0" fontId="91" fillId="4" borderId="12" xfId="3" applyFont="1" applyFill="1" applyBorder="1" applyAlignment="1" applyProtection="1">
      <alignment vertical="center"/>
    </xf>
    <xf numFmtId="14" fontId="71" fillId="0" borderId="10" xfId="3" applyNumberFormat="1" applyFont="1" applyBorder="1" applyAlignment="1" applyProtection="1">
      <alignment horizontal="center" vertical="center"/>
      <protection locked="0"/>
    </xf>
    <xf numFmtId="14" fontId="71" fillId="0" borderId="11" xfId="3" applyNumberFormat="1" applyFont="1" applyBorder="1" applyAlignment="1" applyProtection="1">
      <alignment horizontal="center" vertical="center"/>
      <protection locked="0"/>
    </xf>
    <xf numFmtId="14" fontId="71" fillId="0" borderId="48" xfId="3" applyNumberFormat="1" applyFont="1" applyBorder="1" applyAlignment="1" applyProtection="1">
      <alignment horizontal="center" vertical="center"/>
      <protection locked="0"/>
    </xf>
    <xf numFmtId="0" fontId="93" fillId="0" borderId="10" xfId="4" applyFont="1" applyBorder="1" applyAlignment="1" applyProtection="1">
      <alignment horizontal="center" vertical="center"/>
      <protection locked="0"/>
    </xf>
    <xf numFmtId="0" fontId="93" fillId="0" borderId="12" xfId="4" applyFont="1" applyBorder="1" applyAlignment="1" applyProtection="1">
      <alignment horizontal="center" vertical="center"/>
      <protection locked="0"/>
    </xf>
    <xf numFmtId="0" fontId="71" fillId="11" borderId="11" xfId="3" applyFont="1" applyFill="1" applyBorder="1" applyAlignment="1" applyProtection="1">
      <alignment horizontal="center" vertical="center"/>
      <protection locked="0"/>
    </xf>
    <xf numFmtId="0" fontId="71" fillId="11" borderId="12" xfId="3" applyFont="1" applyFill="1" applyBorder="1" applyAlignment="1" applyProtection="1">
      <alignment horizontal="center" vertical="center"/>
      <protection locked="0"/>
    </xf>
    <xf numFmtId="171" fontId="62" fillId="10" borderId="67" xfId="4" quotePrefix="1" applyNumberFormat="1" applyFont="1" applyFill="1" applyBorder="1" applyAlignment="1" applyProtection="1">
      <alignment horizontal="center" vertical="center"/>
    </xf>
    <xf numFmtId="171" fontId="62" fillId="10" borderId="46" xfId="4" quotePrefix="1" applyNumberFormat="1" applyFont="1" applyFill="1" applyBorder="1" applyAlignment="1" applyProtection="1">
      <alignment horizontal="center" vertical="center"/>
    </xf>
    <xf numFmtId="49" fontId="62" fillId="0" borderId="44" xfId="4" quotePrefix="1" applyNumberFormat="1" applyFont="1" applyBorder="1" applyAlignment="1" applyProtection="1">
      <alignment horizontal="center" vertical="center"/>
    </xf>
    <xf numFmtId="49" fontId="62" fillId="0" borderId="45" xfId="4" quotePrefix="1" applyNumberFormat="1" applyFont="1" applyBorder="1" applyAlignment="1" applyProtection="1">
      <alignment horizontal="center" vertical="center"/>
    </xf>
    <xf numFmtId="49" fontId="62" fillId="0" borderId="46" xfId="4" quotePrefix="1" applyNumberFormat="1" applyFont="1" applyBorder="1" applyAlignment="1" applyProtection="1">
      <alignment horizontal="center" vertical="center"/>
    </xf>
    <xf numFmtId="0" fontId="65" fillId="0" borderId="44" xfId="4" applyFont="1" applyBorder="1" applyAlignment="1" applyProtection="1">
      <alignment horizontal="center" vertical="center" wrapText="1"/>
    </xf>
    <xf numFmtId="0" fontId="65" fillId="0" borderId="66" xfId="4" applyFont="1" applyBorder="1" applyAlignment="1" applyProtection="1">
      <alignment horizontal="center" vertical="center"/>
    </xf>
    <xf numFmtId="0" fontId="28" fillId="0" borderId="44" xfId="3" applyFont="1" applyBorder="1" applyAlignment="1" applyProtection="1">
      <alignment horizontal="center" vertical="center"/>
    </xf>
    <xf numFmtId="0" fontId="28" fillId="0" borderId="66" xfId="3" applyFont="1" applyBorder="1" applyAlignment="1" applyProtection="1">
      <alignment horizontal="center" vertical="center"/>
    </xf>
    <xf numFmtId="0" fontId="87" fillId="0" borderId="67" xfId="4" quotePrefix="1" applyFont="1" applyBorder="1" applyAlignment="1" applyProtection="1">
      <alignment horizontal="center" vertical="center"/>
    </xf>
    <xf numFmtId="0" fontId="87" fillId="0" borderId="46" xfId="4" quotePrefix="1" applyFont="1" applyBorder="1" applyAlignment="1" applyProtection="1">
      <alignment horizontal="center" vertical="center"/>
    </xf>
    <xf numFmtId="171" fontId="62" fillId="10" borderId="10" xfId="4" applyNumberFormat="1" applyFont="1" applyFill="1" applyBorder="1" applyAlignment="1" applyProtection="1">
      <alignment horizontal="center" vertical="center"/>
    </xf>
    <xf numFmtId="171" fontId="62" fillId="10" borderId="48" xfId="4" applyNumberFormat="1" applyFont="1" applyFill="1" applyBorder="1" applyAlignment="1" applyProtection="1">
      <alignment horizontal="center" vertical="center"/>
    </xf>
    <xf numFmtId="0" fontId="62" fillId="0" borderId="47" xfId="4" quotePrefix="1" applyFont="1" applyBorder="1" applyAlignment="1" applyProtection="1">
      <alignment horizontal="center" vertical="center"/>
    </xf>
    <xf numFmtId="0" fontId="62" fillId="0" borderId="11" xfId="4" quotePrefix="1" applyFont="1" applyBorder="1" applyAlignment="1" applyProtection="1">
      <alignment horizontal="center" vertical="center"/>
    </xf>
    <xf numFmtId="0" fontId="62" fillId="0" borderId="48" xfId="4" quotePrefix="1" applyFont="1" applyBorder="1" applyAlignment="1" applyProtection="1">
      <alignment horizontal="center" vertical="center"/>
    </xf>
    <xf numFmtId="0" fontId="28" fillId="0" borderId="47" xfId="3" quotePrefix="1" applyFont="1" applyBorder="1" applyAlignment="1" applyProtection="1">
      <alignment horizontal="center" vertical="center"/>
    </xf>
    <xf numFmtId="0" fontId="28" fillId="0" borderId="12" xfId="3" quotePrefix="1" applyFont="1" applyBorder="1" applyAlignment="1" applyProtection="1">
      <alignment horizontal="center" vertical="center"/>
    </xf>
    <xf numFmtId="0" fontId="28" fillId="0" borderId="10" xfId="3" quotePrefix="1" applyFont="1" applyBorder="1" applyAlignment="1" applyProtection="1">
      <alignment horizontal="center" vertical="center"/>
    </xf>
    <xf numFmtId="0" fontId="28" fillId="0" borderId="48" xfId="3" quotePrefix="1" applyFont="1" applyBorder="1" applyAlignment="1" applyProtection="1">
      <alignment horizontal="center" vertical="center"/>
    </xf>
    <xf numFmtId="171" fontId="62" fillId="10" borderId="65" xfId="4" applyNumberFormat="1" applyFont="1" applyFill="1" applyBorder="1" applyAlignment="1" applyProtection="1">
      <alignment horizontal="center" vertical="center"/>
    </xf>
    <xf numFmtId="171" fontId="62" fillId="10" borderId="60" xfId="4" applyNumberFormat="1" applyFont="1" applyFill="1" applyBorder="1" applyAlignment="1" applyProtection="1">
      <alignment horizontal="center" vertical="center"/>
    </xf>
    <xf numFmtId="0" fontId="62" fillId="0" borderId="53" xfId="4" quotePrefix="1" applyFont="1" applyBorder="1" applyAlignment="1" applyProtection="1">
      <alignment horizontal="center" vertical="center"/>
    </xf>
    <xf numFmtId="0" fontId="62" fillId="0" borderId="49" xfId="4" quotePrefix="1" applyFont="1" applyBorder="1" applyAlignment="1" applyProtection="1">
      <alignment horizontal="center" vertical="center"/>
    </xf>
    <xf numFmtId="0" fontId="62" fillId="0" borderId="60" xfId="4" quotePrefix="1" applyFont="1" applyBorder="1" applyAlignment="1" applyProtection="1">
      <alignment horizontal="center" vertical="center"/>
    </xf>
    <xf numFmtId="0" fontId="28" fillId="0" borderId="53" xfId="3" quotePrefix="1" applyFont="1" applyBorder="1" applyAlignment="1" applyProtection="1">
      <alignment horizontal="center" vertical="center"/>
    </xf>
    <xf numFmtId="0" fontId="28" fillId="0" borderId="64" xfId="3" quotePrefix="1" applyFont="1" applyBorder="1" applyAlignment="1" applyProtection="1">
      <alignment horizontal="center" vertical="center"/>
    </xf>
    <xf numFmtId="0" fontId="87" fillId="0" borderId="65" xfId="4" applyFont="1" applyBorder="1" applyAlignment="1" applyProtection="1">
      <alignment horizontal="center" vertical="center"/>
    </xf>
    <xf numFmtId="0" fontId="87" fillId="0" borderId="60" xfId="4" applyFont="1" applyBorder="1" applyAlignment="1" applyProtection="1">
      <alignment horizontal="center" vertical="center"/>
    </xf>
    <xf numFmtId="0" fontId="62" fillId="4" borderId="37" xfId="3" applyFont="1" applyFill="1" applyBorder="1" applyAlignment="1" applyProtection="1">
      <alignment horizontal="left" vertical="center" wrapText="1"/>
    </xf>
    <xf numFmtId="0" fontId="62" fillId="4" borderId="38" xfId="3" applyFont="1" applyFill="1" applyBorder="1" applyAlignment="1" applyProtection="1">
      <alignment horizontal="left" vertical="center" wrapText="1"/>
    </xf>
    <xf numFmtId="0" fontId="71" fillId="10" borderId="38" xfId="3" applyFont="1" applyFill="1" applyBorder="1" applyAlignment="1" applyProtection="1">
      <alignment horizontal="center" vertical="center"/>
    </xf>
    <xf numFmtId="0" fontId="71" fillId="4" borderId="63" xfId="3" applyFont="1" applyFill="1" applyBorder="1" applyAlignment="1" applyProtection="1">
      <alignment horizontal="center" vertical="center"/>
    </xf>
    <xf numFmtId="0" fontId="71" fillId="4" borderId="38" xfId="3" applyFont="1" applyFill="1" applyBorder="1" applyAlignment="1" applyProtection="1">
      <alignment horizontal="center" vertical="center"/>
    </xf>
    <xf numFmtId="1" fontId="71" fillId="10" borderId="38" xfId="3" applyNumberFormat="1" applyFont="1" applyFill="1" applyBorder="1" applyAlignment="1" applyProtection="1">
      <alignment horizontal="center" vertical="center"/>
    </xf>
    <xf numFmtId="1" fontId="71" fillId="10" borderId="39" xfId="3" applyNumberFormat="1" applyFont="1" applyFill="1" applyBorder="1" applyAlignment="1" applyProtection="1">
      <alignment horizontal="center" vertical="center"/>
    </xf>
    <xf numFmtId="0" fontId="80" fillId="4" borderId="44" xfId="3" applyFont="1" applyFill="1" applyBorder="1" applyAlignment="1" applyProtection="1">
      <alignment horizontal="left" vertical="center"/>
    </xf>
    <xf numFmtId="0" fontId="80" fillId="4" borderId="46" xfId="3" quotePrefix="1" applyFont="1" applyFill="1" applyBorder="1" applyAlignment="1" applyProtection="1">
      <alignment horizontal="left" vertical="center"/>
    </xf>
    <xf numFmtId="0" fontId="71" fillId="4" borderId="44" xfId="3" applyFont="1" applyFill="1" applyBorder="1" applyAlignment="1" applyProtection="1">
      <alignment horizontal="center" vertical="center"/>
    </xf>
    <xf numFmtId="0" fontId="71" fillId="4" borderId="45" xfId="3" quotePrefix="1" applyFont="1" applyFill="1" applyBorder="1" applyAlignment="1" applyProtection="1">
      <alignment horizontal="center" vertical="center"/>
    </xf>
    <xf numFmtId="0" fontId="71" fillId="4" borderId="46" xfId="3" quotePrefix="1" applyFont="1" applyFill="1" applyBorder="1" applyAlignment="1" applyProtection="1">
      <alignment horizontal="center" vertical="center"/>
    </xf>
    <xf numFmtId="0" fontId="71" fillId="4" borderId="67" xfId="3" applyFont="1" applyFill="1" applyBorder="1" applyAlignment="1" applyProtection="1">
      <alignment horizontal="center" vertical="center"/>
    </xf>
    <xf numFmtId="0" fontId="80" fillId="4" borderId="44" xfId="3" applyFont="1" applyFill="1" applyBorder="1" applyAlignment="1" applyProtection="1">
      <alignment horizontal="left" vertical="center" wrapText="1"/>
    </xf>
    <xf numFmtId="0" fontId="80" fillId="4" borderId="53" xfId="3" applyFont="1" applyFill="1" applyBorder="1" applyAlignment="1" applyProtection="1">
      <alignment horizontal="left" vertical="center" wrapText="1"/>
    </xf>
    <xf numFmtId="0" fontId="80" fillId="4" borderId="49" xfId="3" applyFont="1" applyFill="1" applyBorder="1" applyAlignment="1" applyProtection="1">
      <alignment horizontal="left" vertical="center"/>
    </xf>
    <xf numFmtId="0" fontId="71" fillId="11" borderId="31" xfId="3" applyFont="1" applyFill="1" applyBorder="1" applyAlignment="1" applyProtection="1">
      <alignment horizontal="center" vertical="center"/>
      <protection locked="0"/>
    </xf>
    <xf numFmtId="0" fontId="71" fillId="11" borderId="32" xfId="3" applyFont="1" applyFill="1" applyBorder="1" applyAlignment="1" applyProtection="1">
      <alignment horizontal="center" vertical="center"/>
      <protection locked="0"/>
    </xf>
    <xf numFmtId="0" fontId="78" fillId="4" borderId="13" xfId="3" applyFont="1" applyFill="1" applyBorder="1" applyAlignment="1" applyProtection="1">
      <alignment horizontal="center" vertical="center" wrapText="1"/>
    </xf>
    <xf numFmtId="0" fontId="78" fillId="4" borderId="14" xfId="3" applyFont="1" applyFill="1" applyBorder="1" applyAlignment="1" applyProtection="1">
      <alignment horizontal="center" vertical="center"/>
    </xf>
    <xf numFmtId="0" fontId="78" fillId="4" borderId="20" xfId="3" applyFont="1" applyFill="1" applyBorder="1" applyAlignment="1" applyProtection="1">
      <alignment horizontal="center" vertical="center"/>
    </xf>
    <xf numFmtId="0" fontId="78" fillId="4" borderId="21" xfId="3" applyFont="1" applyFill="1" applyBorder="1" applyAlignment="1" applyProtection="1">
      <alignment horizontal="center" vertical="center"/>
    </xf>
    <xf numFmtId="0" fontId="78" fillId="4" borderId="15" xfId="3" applyFont="1" applyFill="1" applyBorder="1" applyAlignment="1" applyProtection="1">
      <alignment horizontal="center" vertical="center"/>
    </xf>
    <xf numFmtId="0" fontId="78" fillId="4" borderId="22" xfId="3" applyFont="1" applyFill="1" applyBorder="1" applyAlignment="1" applyProtection="1">
      <alignment horizontal="center" vertical="center"/>
    </xf>
    <xf numFmtId="0" fontId="64" fillId="4" borderId="44" xfId="4" applyFont="1" applyFill="1" applyBorder="1" applyAlignment="1" applyProtection="1">
      <alignment horizontal="center" vertical="center"/>
    </xf>
    <xf numFmtId="0" fontId="64" fillId="4" borderId="45" xfId="4" applyFont="1" applyFill="1" applyBorder="1" applyAlignment="1" applyProtection="1">
      <alignment horizontal="center" vertical="center"/>
    </xf>
    <xf numFmtId="0" fontId="64" fillId="4" borderId="46" xfId="4" applyFont="1" applyFill="1" applyBorder="1" applyAlignment="1" applyProtection="1">
      <alignment horizontal="center" vertical="center"/>
    </xf>
    <xf numFmtId="0" fontId="78" fillId="4" borderId="53" xfId="3" applyFont="1" applyFill="1" applyBorder="1" applyAlignment="1" applyProtection="1">
      <alignment horizontal="center" vertical="center"/>
    </xf>
    <xf numFmtId="0" fontId="78" fillId="4" borderId="49" xfId="3" applyFont="1" applyFill="1" applyBorder="1" applyAlignment="1" applyProtection="1">
      <alignment horizontal="center" vertical="center"/>
    </xf>
    <xf numFmtId="0" fontId="78" fillId="4" borderId="64" xfId="3" applyFont="1" applyFill="1" applyBorder="1" applyAlignment="1" applyProtection="1">
      <alignment horizontal="center" vertical="center"/>
    </xf>
    <xf numFmtId="0" fontId="78" fillId="4" borderId="60" xfId="3" applyFont="1" applyFill="1" applyBorder="1" applyAlignment="1" applyProtection="1">
      <alignment horizontal="center" vertical="center"/>
    </xf>
    <xf numFmtId="0" fontId="71" fillId="4" borderId="13" xfId="3" quotePrefix="1" applyFont="1" applyFill="1" applyBorder="1" applyAlignment="1" applyProtection="1">
      <alignment horizontal="center" vertical="center"/>
    </xf>
    <xf numFmtId="0" fontId="71" fillId="4" borderId="14" xfId="3" quotePrefix="1" applyFont="1" applyFill="1" applyBorder="1" applyAlignment="1" applyProtection="1">
      <alignment horizontal="center" vertical="center"/>
    </xf>
    <xf numFmtId="0" fontId="71" fillId="4" borderId="15" xfId="3" quotePrefix="1" applyFont="1" applyFill="1" applyBorder="1" applyAlignment="1" applyProtection="1">
      <alignment horizontal="center" vertical="center"/>
    </xf>
    <xf numFmtId="0" fontId="35" fillId="0" borderId="65" xfId="4" applyFont="1" applyFill="1" applyBorder="1" applyAlignment="1" applyProtection="1">
      <alignment vertical="center" wrapText="1"/>
    </xf>
    <xf numFmtId="0" fontId="35" fillId="0" borderId="49" xfId="4" applyFont="1" applyFill="1" applyBorder="1" applyAlignment="1" applyProtection="1">
      <alignment vertical="center" wrapText="1"/>
    </xf>
    <xf numFmtId="0" fontId="35" fillId="0" borderId="64" xfId="4" applyFont="1" applyFill="1" applyBorder="1" applyAlignment="1" applyProtection="1">
      <alignment vertical="center" wrapText="1"/>
    </xf>
    <xf numFmtId="0" fontId="35" fillId="0" borderId="49" xfId="4" applyFont="1" applyFill="1" applyBorder="1" applyAlignment="1" applyProtection="1">
      <alignment vertical="center"/>
    </xf>
    <xf numFmtId="0" fontId="35" fillId="0" borderId="60" xfId="4" applyFont="1" applyFill="1" applyBorder="1" applyAlignment="1" applyProtection="1">
      <alignment vertical="center"/>
    </xf>
    <xf numFmtId="0" fontId="73" fillId="8" borderId="37" xfId="3" applyFont="1" applyFill="1" applyBorder="1" applyAlignment="1" applyProtection="1">
      <alignment horizontal="center" vertical="center"/>
    </xf>
    <xf numFmtId="0" fontId="73" fillId="8" borderId="38" xfId="3" applyFont="1" applyFill="1" applyBorder="1" applyAlignment="1" applyProtection="1">
      <alignment horizontal="center" vertical="center"/>
    </xf>
    <xf numFmtId="0" fontId="73" fillId="8" borderId="39" xfId="3" applyFont="1" applyFill="1" applyBorder="1" applyAlignment="1" applyProtection="1">
      <alignment horizontal="center" vertical="center"/>
    </xf>
    <xf numFmtId="0" fontId="71" fillId="4" borderId="44" xfId="3" quotePrefix="1" applyFont="1" applyFill="1" applyBorder="1" applyAlignment="1" applyProtection="1">
      <alignment horizontal="center" vertical="center"/>
    </xf>
    <xf numFmtId="0" fontId="63" fillId="0" borderId="71" xfId="3" applyFont="1" applyBorder="1" applyAlignment="1" applyProtection="1">
      <alignment horizontal="center" vertical="center" wrapText="1"/>
    </xf>
    <xf numFmtId="0" fontId="63" fillId="0" borderId="59" xfId="3" applyFont="1" applyBorder="1" applyAlignment="1" applyProtection="1">
      <alignment horizontal="center" vertical="center"/>
    </xf>
    <xf numFmtId="0" fontId="63" fillId="0" borderId="38" xfId="3" applyFont="1" applyBorder="1" applyAlignment="1" applyProtection="1">
      <alignment horizontal="center" vertical="center"/>
    </xf>
    <xf numFmtId="0" fontId="69" fillId="0" borderId="67" xfId="3" applyFont="1" applyBorder="1" applyAlignment="1" applyProtection="1">
      <alignment horizontal="center" vertical="center" wrapText="1"/>
    </xf>
    <xf numFmtId="0" fontId="69" fillId="0" borderId="45" xfId="3" applyFont="1" applyBorder="1" applyAlignment="1" applyProtection="1">
      <alignment horizontal="center" vertical="center"/>
    </xf>
    <xf numFmtId="0" fontId="69" fillId="0" borderId="66" xfId="3" applyFont="1" applyBorder="1" applyAlignment="1" applyProtection="1">
      <alignment horizontal="center" vertical="center"/>
    </xf>
    <xf numFmtId="0" fontId="65" fillId="0" borderId="67" xfId="4" applyFont="1" applyBorder="1" applyAlignment="1" applyProtection="1">
      <alignment horizontal="center" vertical="center"/>
    </xf>
    <xf numFmtId="0" fontId="71" fillId="0" borderId="24" xfId="3" applyFont="1" applyBorder="1" applyAlignment="1" applyProtection="1">
      <alignment horizontal="center" vertical="center"/>
    </xf>
    <xf numFmtId="0" fontId="71" fillId="0" borderId="23" xfId="3" applyFont="1" applyBorder="1" applyAlignment="1" applyProtection="1">
      <alignment horizontal="center" vertical="center"/>
    </xf>
    <xf numFmtId="2" fontId="71" fillId="9" borderId="10" xfId="3" applyNumberFormat="1" applyFont="1" applyFill="1" applyBorder="1" applyAlignment="1" applyProtection="1">
      <alignment horizontal="center" vertical="center"/>
    </xf>
    <xf numFmtId="2" fontId="71" fillId="9" borderId="11" xfId="3" applyNumberFormat="1" applyFont="1" applyFill="1" applyBorder="1" applyAlignment="1" applyProtection="1">
      <alignment horizontal="center" vertical="center"/>
    </xf>
    <xf numFmtId="2" fontId="71" fillId="9" borderId="48" xfId="3" applyNumberFormat="1" applyFont="1" applyFill="1" applyBorder="1" applyAlignment="1" applyProtection="1">
      <alignment horizontal="center" vertical="center"/>
    </xf>
    <xf numFmtId="0" fontId="70" fillId="0" borderId="10" xfId="3" applyFont="1" applyBorder="1" applyAlignment="1" applyProtection="1">
      <alignment vertical="center"/>
    </xf>
    <xf numFmtId="0" fontId="70" fillId="0" borderId="11" xfId="3" applyFont="1" applyBorder="1" applyAlignment="1" applyProtection="1">
      <alignment vertical="center"/>
    </xf>
    <xf numFmtId="0" fontId="70" fillId="0" borderId="48" xfId="3" applyFont="1" applyBorder="1" applyAlignment="1" applyProtection="1">
      <alignment vertical="center"/>
    </xf>
    <xf numFmtId="0" fontId="70" fillId="0" borderId="65" xfId="3" applyFont="1" applyBorder="1" applyAlignment="1" applyProtection="1">
      <alignment vertical="center"/>
    </xf>
    <xf numFmtId="0" fontId="70" fillId="0" borderId="49" xfId="3" applyFont="1" applyBorder="1" applyAlignment="1" applyProtection="1">
      <alignment vertical="center"/>
    </xf>
    <xf numFmtId="0" fontId="70" fillId="0" borderId="60" xfId="3" applyFont="1" applyBorder="1" applyAlignment="1" applyProtection="1">
      <alignment vertical="center"/>
    </xf>
    <xf numFmtId="0" fontId="73" fillId="8" borderId="13" xfId="3" applyFont="1" applyFill="1" applyBorder="1" applyAlignment="1" applyProtection="1">
      <alignment horizontal="center" vertical="center" wrapText="1"/>
    </xf>
    <xf numFmtId="0" fontId="73" fillId="8" borderId="14" xfId="3" applyFont="1" applyFill="1" applyBorder="1" applyAlignment="1" applyProtection="1">
      <alignment horizontal="center" vertical="center" wrapText="1"/>
    </xf>
    <xf numFmtId="0" fontId="73" fillId="8" borderId="15" xfId="3" applyFont="1" applyFill="1" applyBorder="1" applyAlignment="1" applyProtection="1">
      <alignment horizontal="center" vertical="center" wrapText="1"/>
    </xf>
    <xf numFmtId="0" fontId="73" fillId="8" borderId="16" xfId="3" applyFont="1" applyFill="1" applyBorder="1" applyAlignment="1" applyProtection="1">
      <alignment horizontal="center" vertical="center" wrapText="1"/>
    </xf>
    <xf numFmtId="0" fontId="73" fillId="8" borderId="1" xfId="3" applyFont="1" applyFill="1" applyBorder="1" applyAlignment="1" applyProtection="1">
      <alignment horizontal="center" vertical="center" wrapText="1"/>
    </xf>
    <xf numFmtId="0" fontId="73" fillId="8" borderId="17" xfId="3" applyFont="1" applyFill="1" applyBorder="1" applyAlignment="1" applyProtection="1">
      <alignment horizontal="center" vertical="center" wrapText="1"/>
    </xf>
    <xf numFmtId="166" fontId="65" fillId="0" borderId="38" xfId="4" applyNumberFormat="1" applyFont="1" applyBorder="1" applyAlignment="1" applyProtection="1">
      <alignment horizontal="center" vertical="center"/>
    </xf>
    <xf numFmtId="166" fontId="65" fillId="0" borderId="39" xfId="4" applyNumberFormat="1" applyFont="1" applyBorder="1" applyAlignment="1" applyProtection="1">
      <alignment horizontal="center" vertical="center"/>
    </xf>
    <xf numFmtId="0" fontId="65" fillId="0" borderId="10" xfId="4" applyFont="1" applyBorder="1" applyAlignment="1" applyProtection="1">
      <alignment horizontal="center" vertical="center"/>
    </xf>
    <xf numFmtId="0" fontId="65" fillId="0" borderId="12" xfId="4" applyFont="1" applyBorder="1" applyAlignment="1" applyProtection="1">
      <alignment horizontal="center" vertical="center"/>
    </xf>
    <xf numFmtId="171" fontId="65" fillId="0" borderId="23" xfId="4" applyNumberFormat="1" applyFont="1" applyBorder="1" applyAlignment="1" applyProtection="1">
      <alignment horizontal="center" vertical="center"/>
    </xf>
    <xf numFmtId="171" fontId="65" fillId="0" borderId="25" xfId="4" applyNumberFormat="1" applyFont="1" applyBorder="1" applyAlignment="1" applyProtection="1">
      <alignment horizontal="center" vertical="center"/>
    </xf>
    <xf numFmtId="0" fontId="65" fillId="0" borderId="23" xfId="4" applyFont="1" applyBorder="1" applyAlignment="1" applyProtection="1">
      <alignment horizontal="center" vertical="center"/>
    </xf>
    <xf numFmtId="0" fontId="67" fillId="0" borderId="23" xfId="4" applyFont="1" applyBorder="1" applyAlignment="1" applyProtection="1">
      <alignment horizontal="center" vertical="center"/>
    </xf>
    <xf numFmtId="0" fontId="67" fillId="0" borderId="25" xfId="4" applyFont="1" applyBorder="1" applyAlignment="1" applyProtection="1">
      <alignment horizontal="center" vertical="center"/>
    </xf>
    <xf numFmtId="0" fontId="65" fillId="0" borderId="25" xfId="4" applyFont="1" applyBorder="1" applyAlignment="1" applyProtection="1">
      <alignment horizontal="center" vertical="center"/>
    </xf>
    <xf numFmtId="0" fontId="74" fillId="0" borderId="13" xfId="3" applyFont="1" applyBorder="1" applyAlignment="1" applyProtection="1">
      <alignment horizontal="left" vertical="top" wrapText="1"/>
    </xf>
    <xf numFmtId="0" fontId="34" fillId="0" borderId="14" xfId="3" applyBorder="1" applyAlignment="1">
      <alignment wrapText="1"/>
    </xf>
    <xf numFmtId="0" fontId="34" fillId="0" borderId="15" xfId="3" applyBorder="1" applyAlignment="1">
      <alignment wrapText="1"/>
    </xf>
    <xf numFmtId="0" fontId="34" fillId="0" borderId="33" xfId="3" applyBorder="1" applyAlignment="1">
      <alignment wrapText="1"/>
    </xf>
    <xf numFmtId="0" fontId="34" fillId="0" borderId="0" xfId="3" applyAlignment="1">
      <alignment wrapText="1"/>
    </xf>
    <xf numFmtId="0" fontId="34" fillId="0" borderId="30" xfId="3" applyBorder="1" applyAlignment="1">
      <alignment wrapText="1"/>
    </xf>
    <xf numFmtId="0" fontId="34" fillId="0" borderId="20" xfId="3" applyBorder="1" applyAlignment="1">
      <alignment wrapText="1"/>
    </xf>
    <xf numFmtId="0" fontId="34" fillId="0" borderId="21" xfId="3" applyBorder="1" applyAlignment="1">
      <alignment wrapText="1"/>
    </xf>
    <xf numFmtId="0" fontId="34" fillId="0" borderId="22" xfId="3" applyBorder="1" applyAlignment="1">
      <alignment wrapText="1"/>
    </xf>
    <xf numFmtId="0" fontId="71" fillId="0" borderId="10" xfId="3" applyFont="1" applyBorder="1" applyAlignment="1" applyProtection="1">
      <alignment vertical="center"/>
    </xf>
    <xf numFmtId="0" fontId="71" fillId="0" borderId="65" xfId="3" applyFont="1" applyBorder="1" applyAlignment="1" applyProtection="1">
      <alignment vertical="center"/>
    </xf>
    <xf numFmtId="0" fontId="34" fillId="0" borderId="0" xfId="3" applyBorder="1" applyAlignment="1" applyProtection="1">
      <alignment horizontal="left" vertical="center" wrapText="1"/>
    </xf>
    <xf numFmtId="0" fontId="34" fillId="0" borderId="21" xfId="3" applyBorder="1" applyAlignment="1" applyProtection="1">
      <alignment horizontal="left" vertical="center" wrapText="1"/>
    </xf>
    <xf numFmtId="0" fontId="62" fillId="0" borderId="23" xfId="4" applyFont="1" applyBorder="1" applyAlignment="1" applyProtection="1">
      <alignment horizontal="center" vertical="center" textRotation="90"/>
    </xf>
    <xf numFmtId="0" fontId="62" fillId="0" borderId="23" xfId="4" applyBorder="1" applyAlignment="1" applyProtection="1">
      <alignment horizontal="center" vertical="center" textRotation="90"/>
    </xf>
    <xf numFmtId="0" fontId="107" fillId="0" borderId="23" xfId="8" applyFont="1" applyBorder="1" applyAlignment="1">
      <alignment horizontal="center" vertical="center"/>
    </xf>
    <xf numFmtId="0" fontId="107" fillId="0" borderId="23" xfId="8" applyFont="1" applyBorder="1" applyAlignment="1">
      <alignment horizontal="center" vertical="center" wrapText="1"/>
    </xf>
    <xf numFmtId="0" fontId="107" fillId="0" borderId="10" xfId="8" applyFont="1" applyBorder="1" applyAlignment="1">
      <alignment horizontal="center" vertical="center" wrapText="1"/>
    </xf>
    <xf numFmtId="0" fontId="107" fillId="0" borderId="12" xfId="8" applyFont="1" applyBorder="1" applyAlignment="1">
      <alignment horizontal="center" vertical="center" wrapText="1"/>
    </xf>
    <xf numFmtId="0" fontId="108" fillId="0" borderId="84" xfId="8" applyFont="1" applyBorder="1" applyAlignment="1">
      <alignment horizontal="center" vertical="center" wrapText="1"/>
    </xf>
    <xf numFmtId="0" fontId="108" fillId="0" borderId="83" xfId="8" applyFont="1" applyBorder="1" applyAlignment="1">
      <alignment horizontal="center" vertical="center" wrapText="1"/>
    </xf>
    <xf numFmtId="0" fontId="109" fillId="0" borderId="86" xfId="8" applyFont="1" applyBorder="1" applyAlignment="1">
      <alignment horizontal="center" vertical="center"/>
    </xf>
    <xf numFmtId="0" fontId="107" fillId="0" borderId="86" xfId="8" applyFont="1" applyBorder="1" applyAlignment="1">
      <alignment horizontal="center" vertical="center"/>
    </xf>
    <xf numFmtId="0" fontId="107" fillId="0" borderId="89" xfId="8" applyFont="1" applyBorder="1" applyAlignment="1"/>
    <xf numFmtId="0" fontId="107" fillId="0" borderId="87" xfId="8" applyFont="1" applyBorder="1" applyAlignment="1"/>
    <xf numFmtId="0" fontId="107" fillId="0" borderId="88" xfId="8" applyFont="1" applyBorder="1" applyAlignment="1"/>
    <xf numFmtId="0" fontId="108" fillId="0" borderId="84" xfId="8" applyFont="1" applyBorder="1" applyAlignment="1">
      <alignment horizontal="center" vertical="center"/>
    </xf>
    <xf numFmtId="0" fontId="108" fillId="0" borderId="85" xfId="8" applyFont="1" applyBorder="1" applyAlignment="1">
      <alignment horizontal="center" vertical="center"/>
    </xf>
    <xf numFmtId="0" fontId="108" fillId="0" borderId="83" xfId="8" applyFont="1" applyBorder="1" applyAlignment="1">
      <alignment horizontal="center" vertical="center"/>
    </xf>
    <xf numFmtId="0" fontId="107" fillId="0" borderId="11" xfId="8" applyFont="1" applyBorder="1" applyAlignment="1">
      <alignment horizontal="center" vertical="center" wrapText="1"/>
    </xf>
    <xf numFmtId="0" fontId="107" fillId="0" borderId="10" xfId="8" applyFont="1" applyBorder="1" applyAlignment="1">
      <alignment horizontal="center" vertical="center"/>
    </xf>
    <xf numFmtId="0" fontId="107" fillId="0" borderId="11" xfId="8" applyFont="1" applyBorder="1" applyAlignment="1">
      <alignment horizontal="center" vertical="center"/>
    </xf>
    <xf numFmtId="0" fontId="107" fillId="0" borderId="12" xfId="8" applyFont="1" applyBorder="1" applyAlignment="1">
      <alignment horizontal="center" vertical="center"/>
    </xf>
    <xf numFmtId="0" fontId="103" fillId="15" borderId="52" xfId="7" applyFont="1" applyFill="1" applyBorder="1" applyAlignment="1">
      <alignment horizontal="center" vertical="center" wrapText="1"/>
    </xf>
    <xf numFmtId="0" fontId="103" fillId="15" borderId="50" xfId="7" applyFont="1" applyFill="1" applyBorder="1" applyAlignment="1">
      <alignment horizontal="center" vertical="center" wrapText="1"/>
    </xf>
    <xf numFmtId="0" fontId="103" fillId="15" borderId="51" xfId="7" applyFont="1" applyFill="1" applyBorder="1" applyAlignment="1">
      <alignment horizontal="center" vertical="center" wrapText="1"/>
    </xf>
    <xf numFmtId="0" fontId="103" fillId="15" borderId="71" xfId="7" applyFont="1" applyFill="1" applyBorder="1" applyAlignment="1">
      <alignment horizontal="center" vertical="center" wrapText="1"/>
    </xf>
    <xf numFmtId="0" fontId="103" fillId="15" borderId="63" xfId="7" applyFont="1" applyFill="1" applyBorder="1" applyAlignment="1">
      <alignment horizontal="center" vertical="center" wrapText="1"/>
    </xf>
    <xf numFmtId="0" fontId="103" fillId="15" borderId="62" xfId="7" applyFont="1" applyFill="1" applyBorder="1" applyAlignment="1">
      <alignment horizontal="center" vertical="center" wrapText="1"/>
    </xf>
    <xf numFmtId="49" fontId="101" fillId="0" borderId="23" xfId="7" applyNumberFormat="1" applyFont="1" applyBorder="1" applyAlignment="1">
      <alignment horizontal="left" vertical="center"/>
    </xf>
    <xf numFmtId="49" fontId="101" fillId="0" borderId="25" xfId="7" applyNumberFormat="1" applyFont="1" applyBorder="1" applyAlignment="1">
      <alignment horizontal="left" vertical="center"/>
    </xf>
    <xf numFmtId="0" fontId="101" fillId="14" borderId="10" xfId="7" applyFont="1" applyFill="1" applyBorder="1" applyAlignment="1">
      <alignment horizontal="center" vertical="center"/>
    </xf>
    <xf numFmtId="0" fontId="101" fillId="14" borderId="48" xfId="7" applyFont="1" applyFill="1" applyBorder="1" applyAlignment="1">
      <alignment horizontal="center" vertical="center"/>
    </xf>
    <xf numFmtId="0" fontId="101" fillId="14" borderId="47" xfId="7" applyFont="1" applyFill="1" applyBorder="1" applyAlignment="1">
      <alignment horizontal="left" vertical="center" wrapText="1"/>
    </xf>
    <xf numFmtId="0" fontId="101" fillId="14" borderId="12" xfId="7" applyFont="1" applyFill="1" applyBorder="1" applyAlignment="1">
      <alignment horizontal="left" vertical="center" wrapText="1"/>
    </xf>
    <xf numFmtId="4" fontId="101" fillId="0" borderId="23" xfId="7" applyNumberFormat="1" applyFont="1" applyBorder="1" applyAlignment="1">
      <alignment horizontal="left" vertical="center"/>
    </xf>
    <xf numFmtId="4" fontId="101" fillId="0" borderId="25" xfId="7" applyNumberFormat="1" applyFont="1" applyBorder="1" applyAlignment="1">
      <alignment horizontal="left" vertical="center"/>
    </xf>
    <xf numFmtId="49" fontId="101" fillId="0" borderId="10" xfId="7" applyNumberFormat="1" applyFont="1" applyBorder="1" applyAlignment="1">
      <alignment horizontal="left" vertical="center"/>
    </xf>
    <xf numFmtId="49" fontId="101" fillId="0" borderId="48" xfId="7" applyNumberFormat="1" applyFont="1" applyBorder="1" applyAlignment="1">
      <alignment horizontal="left" vertical="center"/>
    </xf>
    <xf numFmtId="1" fontId="101" fillId="0" borderId="10" xfId="7" applyNumberFormat="1" applyFont="1" applyBorder="1" applyAlignment="1">
      <alignment horizontal="center" vertical="center"/>
    </xf>
    <xf numFmtId="1" fontId="101" fillId="0" borderId="48" xfId="7" applyNumberFormat="1" applyFont="1" applyBorder="1" applyAlignment="1">
      <alignment horizontal="center" vertical="center"/>
    </xf>
    <xf numFmtId="4" fontId="101" fillId="0" borderId="65" xfId="7" applyNumberFormat="1" applyFont="1" applyBorder="1" applyAlignment="1">
      <alignment horizontal="center" vertical="center"/>
    </xf>
    <xf numFmtId="4" fontId="101" fillId="0" borderId="60" xfId="7" applyNumberFormat="1" applyFont="1" applyBorder="1" applyAlignment="1">
      <alignment horizontal="center" vertical="center"/>
    </xf>
    <xf numFmtId="0" fontId="101" fillId="14" borderId="47" xfId="7" applyFont="1" applyFill="1" applyBorder="1" applyAlignment="1">
      <alignment horizontal="center" vertical="center" wrapText="1"/>
    </xf>
    <xf numFmtId="0" fontId="101" fillId="14" borderId="11" xfId="7" applyFont="1" applyFill="1" applyBorder="1" applyAlignment="1">
      <alignment horizontal="center" vertical="center" wrapText="1"/>
    </xf>
    <xf numFmtId="0" fontId="101" fillId="14" borderId="48" xfId="7" applyFont="1" applyFill="1" applyBorder="1" applyAlignment="1">
      <alignment horizontal="center" vertical="center" wrapText="1"/>
    </xf>
    <xf numFmtId="1" fontId="101" fillId="0" borderId="67" xfId="7" applyNumberFormat="1" applyFont="1" applyBorder="1" applyAlignment="1">
      <alignment horizontal="center" vertical="center"/>
    </xf>
    <xf numFmtId="1" fontId="101" fillId="0" borderId="46" xfId="7" applyNumberFormat="1" applyFont="1" applyBorder="1" applyAlignment="1">
      <alignment horizontal="center" vertical="center"/>
    </xf>
    <xf numFmtId="0" fontId="102" fillId="14" borderId="47" xfId="7" applyFont="1" applyFill="1" applyBorder="1" applyAlignment="1">
      <alignment horizontal="right" vertical="center" wrapText="1"/>
    </xf>
    <xf numFmtId="0" fontId="102" fillId="14" borderId="12" xfId="7" applyFont="1" applyFill="1" applyBorder="1" applyAlignment="1">
      <alignment horizontal="right" vertical="center" wrapText="1"/>
    </xf>
    <xf numFmtId="0" fontId="101" fillId="14" borderId="24" xfId="7" applyFont="1" applyFill="1" applyBorder="1" applyAlignment="1">
      <alignment horizontal="left" vertical="center" wrapText="1"/>
    </xf>
    <xf numFmtId="0" fontId="101" fillId="14" borderId="23" xfId="7" applyFont="1" applyFill="1" applyBorder="1" applyAlignment="1">
      <alignment horizontal="left" vertical="center" wrapText="1"/>
    </xf>
    <xf numFmtId="49" fontId="101" fillId="0" borderId="53" xfId="7" applyNumberFormat="1" applyFont="1" applyFill="1" applyBorder="1" applyAlignment="1">
      <alignment horizontal="center" vertical="center" wrapText="1"/>
    </xf>
    <xf numFmtId="49" fontId="101" fillId="0" borderId="49" xfId="7" applyNumberFormat="1" applyFont="1" applyFill="1" applyBorder="1" applyAlignment="1">
      <alignment horizontal="center" vertical="center" wrapText="1"/>
    </xf>
    <xf numFmtId="49" fontId="101" fillId="0" borderId="60" xfId="7" applyNumberFormat="1" applyFont="1" applyFill="1" applyBorder="1" applyAlignment="1">
      <alignment horizontal="center" vertical="center" wrapText="1"/>
    </xf>
    <xf numFmtId="49" fontId="100" fillId="0" borderId="18" xfId="7" applyNumberFormat="1" applyFont="1" applyBorder="1" applyAlignment="1">
      <alignment horizontal="left" vertical="top"/>
    </xf>
    <xf numFmtId="49" fontId="100" fillId="0" borderId="3" xfId="7" applyNumberFormat="1" applyFont="1" applyBorder="1" applyAlignment="1">
      <alignment horizontal="left" vertical="top"/>
    </xf>
    <xf numFmtId="49" fontId="100" fillId="0" borderId="19" xfId="7" applyNumberFormat="1" applyFont="1" applyBorder="1" applyAlignment="1">
      <alignment horizontal="left" vertical="top"/>
    </xf>
    <xf numFmtId="49" fontId="100" fillId="0" borderId="33" xfId="7" applyNumberFormat="1" applyFont="1" applyBorder="1" applyAlignment="1">
      <alignment horizontal="left" vertical="top"/>
    </xf>
    <xf numFmtId="49" fontId="100" fillId="0" borderId="0" xfId="7" applyNumberFormat="1" applyFont="1" applyBorder="1" applyAlignment="1">
      <alignment horizontal="left" vertical="top"/>
    </xf>
    <xf numFmtId="49" fontId="100" fillId="0" borderId="30" xfId="7" applyNumberFormat="1" applyFont="1" applyBorder="1" applyAlignment="1">
      <alignment horizontal="left" vertical="top"/>
    </xf>
    <xf numFmtId="49" fontId="100" fillId="0" borderId="20" xfId="7" applyNumberFormat="1" applyFont="1" applyBorder="1" applyAlignment="1">
      <alignment horizontal="left" vertical="top"/>
    </xf>
    <xf numFmtId="49" fontId="100" fillId="0" borderId="21" xfId="7" applyNumberFormat="1" applyFont="1" applyBorder="1" applyAlignment="1">
      <alignment horizontal="left" vertical="top"/>
    </xf>
    <xf numFmtId="49" fontId="100" fillId="0" borderId="22" xfId="7" applyNumberFormat="1" applyFont="1" applyBorder="1" applyAlignment="1">
      <alignment horizontal="left" vertical="top"/>
    </xf>
    <xf numFmtId="0" fontId="105" fillId="15" borderId="31" xfId="7" applyFont="1" applyFill="1" applyBorder="1" applyAlignment="1">
      <alignment horizontal="center" vertical="center"/>
    </xf>
    <xf numFmtId="0" fontId="105" fillId="15" borderId="43" xfId="7" applyFont="1" applyFill="1" applyBorder="1" applyAlignment="1">
      <alignment horizontal="center" vertical="center"/>
    </xf>
    <xf numFmtId="0" fontId="105" fillId="15" borderId="32" xfId="7" applyFont="1" applyFill="1" applyBorder="1" applyAlignment="1">
      <alignment horizontal="center" vertical="center"/>
    </xf>
    <xf numFmtId="0" fontId="101" fillId="0" borderId="18" xfId="7" applyFont="1" applyBorder="1" applyAlignment="1">
      <alignment horizontal="center" vertical="center" wrapText="1"/>
    </xf>
    <xf numFmtId="0" fontId="101" fillId="0" borderId="3" xfId="7" applyFont="1" applyBorder="1" applyAlignment="1">
      <alignment horizontal="center" vertical="center" wrapText="1"/>
    </xf>
    <xf numFmtId="0" fontId="101" fillId="0" borderId="19" xfId="7" applyFont="1" applyBorder="1" applyAlignment="1">
      <alignment horizontal="center" vertical="center" wrapText="1"/>
    </xf>
    <xf numFmtId="0" fontId="101" fillId="0" borderId="33" xfId="7" applyFont="1" applyBorder="1" applyAlignment="1">
      <alignment horizontal="center" vertical="center" wrapText="1"/>
    </xf>
    <xf numFmtId="0" fontId="101" fillId="0" borderId="0" xfId="7" applyFont="1" applyBorder="1" applyAlignment="1">
      <alignment horizontal="center" vertical="center" wrapText="1"/>
    </xf>
    <xf numFmtId="0" fontId="101" fillId="0" borderId="30" xfId="7" applyFont="1" applyBorder="1" applyAlignment="1">
      <alignment horizontal="center" vertical="center" wrapText="1"/>
    </xf>
    <xf numFmtId="0" fontId="101" fillId="0" borderId="20" xfId="7" applyFont="1" applyBorder="1" applyAlignment="1">
      <alignment horizontal="center" vertical="center" wrapText="1"/>
    </xf>
    <xf numFmtId="0" fontId="101" fillId="0" borderId="21" xfId="7" applyFont="1" applyBorder="1" applyAlignment="1">
      <alignment horizontal="center" vertical="center" wrapText="1"/>
    </xf>
    <xf numFmtId="0" fontId="101" fillId="0" borderId="22" xfId="7" applyFont="1" applyBorder="1" applyAlignment="1">
      <alignment horizontal="center" vertical="center" wrapText="1"/>
    </xf>
    <xf numFmtId="0" fontId="101" fillId="14" borderId="44" xfId="7" applyFont="1" applyFill="1" applyBorder="1" applyAlignment="1">
      <alignment horizontal="left" vertical="center" wrapText="1"/>
    </xf>
    <xf numFmtId="0" fontId="101" fillId="14" borderId="45" xfId="7" applyFont="1" applyFill="1" applyBorder="1" applyAlignment="1">
      <alignment horizontal="left" vertical="center" wrapText="1"/>
    </xf>
    <xf numFmtId="0" fontId="101" fillId="14" borderId="16" xfId="7" applyFont="1" applyFill="1" applyBorder="1" applyAlignment="1">
      <alignment horizontal="left" vertical="center" wrapText="1"/>
    </xf>
    <xf numFmtId="0" fontId="101" fillId="14" borderId="1" xfId="7" applyFont="1" applyFill="1" applyBorder="1" applyAlignment="1">
      <alignment horizontal="left" vertical="center" wrapText="1"/>
    </xf>
    <xf numFmtId="49" fontId="101" fillId="0" borderId="67" xfId="7" applyNumberFormat="1" applyFont="1" applyBorder="1" applyAlignment="1">
      <alignment horizontal="left" vertical="center"/>
    </xf>
    <xf numFmtId="49" fontId="101" fillId="0" borderId="45" xfId="7" applyNumberFormat="1" applyFont="1" applyBorder="1" applyAlignment="1">
      <alignment horizontal="left" vertical="center"/>
    </xf>
    <xf numFmtId="49" fontId="101" fillId="0" borderId="46" xfId="7" applyNumberFormat="1" applyFont="1" applyBorder="1" applyAlignment="1">
      <alignment horizontal="left" vertical="center"/>
    </xf>
    <xf numFmtId="0" fontId="103" fillId="15" borderId="31" xfId="7" applyFont="1" applyFill="1" applyBorder="1" applyAlignment="1">
      <alignment horizontal="center" vertical="center" wrapText="1"/>
    </xf>
    <xf numFmtId="0" fontId="103" fillId="15" borderId="43" xfId="7" applyFont="1" applyFill="1" applyBorder="1" applyAlignment="1">
      <alignment horizontal="center" vertical="center" wrapText="1"/>
    </xf>
    <xf numFmtId="0" fontId="103" fillId="15" borderId="32" xfId="7" applyFont="1" applyFill="1" applyBorder="1" applyAlignment="1">
      <alignment horizontal="center" vertical="center" wrapText="1"/>
    </xf>
    <xf numFmtId="49" fontId="101" fillId="0" borderId="11" xfId="7" applyNumberFormat="1" applyFont="1" applyBorder="1" applyAlignment="1">
      <alignment horizontal="left" vertical="center"/>
    </xf>
    <xf numFmtId="0" fontId="101" fillId="14" borderId="20" xfId="7" applyFont="1" applyFill="1" applyBorder="1" applyAlignment="1">
      <alignment horizontal="left" vertical="center" wrapText="1"/>
    </xf>
    <xf numFmtId="0" fontId="101" fillId="14" borderId="21" xfId="7" applyFont="1" applyFill="1" applyBorder="1" applyAlignment="1">
      <alignment horizontal="left" vertical="center" wrapText="1"/>
    </xf>
    <xf numFmtId="49" fontId="101" fillId="0" borderId="65" xfId="7" applyNumberFormat="1" applyFont="1" applyBorder="1" applyAlignment="1">
      <alignment horizontal="left" vertical="center"/>
    </xf>
    <xf numFmtId="49" fontId="101" fillId="0" borderId="49" xfId="7" applyNumberFormat="1" applyFont="1" applyBorder="1" applyAlignment="1">
      <alignment horizontal="left" vertical="center"/>
    </xf>
    <xf numFmtId="49" fontId="101" fillId="0" borderId="60" xfId="7" applyNumberFormat="1" applyFont="1" applyBorder="1" applyAlignment="1">
      <alignment horizontal="left" vertical="center"/>
    </xf>
    <xf numFmtId="0" fontId="104" fillId="0" borderId="37" xfId="7" applyFont="1" applyBorder="1" applyAlignment="1">
      <alignment horizontal="center" vertical="center" textRotation="45" wrapText="1"/>
    </xf>
    <xf numFmtId="0" fontId="104" fillId="0" borderId="38" xfId="7" applyFont="1" applyBorder="1" applyAlignment="1">
      <alignment horizontal="center" vertical="center" textRotation="45" wrapText="1"/>
    </xf>
    <xf numFmtId="0" fontId="104" fillId="0" borderId="24" xfId="7" applyFont="1" applyBorder="1" applyAlignment="1">
      <alignment horizontal="center" vertical="center" textRotation="45" wrapText="1"/>
    </xf>
    <xf numFmtId="0" fontId="104" fillId="0" borderId="23" xfId="7" applyFont="1" applyBorder="1" applyAlignment="1">
      <alignment horizontal="center" vertical="center" textRotation="45" wrapText="1"/>
    </xf>
    <xf numFmtId="0" fontId="104" fillId="0" borderId="40" xfId="7" applyFont="1" applyBorder="1" applyAlignment="1">
      <alignment horizontal="center" vertical="center" textRotation="45" wrapText="1"/>
    </xf>
    <xf numFmtId="0" fontId="104" fillId="0" borderId="41" xfId="7" applyFont="1" applyBorder="1" applyAlignment="1">
      <alignment horizontal="center" vertical="center" textRotation="45" wrapText="1"/>
    </xf>
    <xf numFmtId="0" fontId="104" fillId="0" borderId="39" xfId="7" applyFont="1" applyBorder="1" applyAlignment="1">
      <alignment horizontal="center" vertical="center" textRotation="45" wrapText="1"/>
    </xf>
    <xf numFmtId="0" fontId="104" fillId="0" borderId="25" xfId="7" applyFont="1" applyBorder="1" applyAlignment="1">
      <alignment horizontal="center" vertical="center" textRotation="45" wrapText="1"/>
    </xf>
    <xf numFmtId="0" fontId="104" fillId="0" borderId="42" xfId="7" applyFont="1" applyBorder="1" applyAlignment="1">
      <alignment horizontal="center" vertical="center" textRotation="45" wrapText="1"/>
    </xf>
    <xf numFmtId="0" fontId="103" fillId="15" borderId="20" xfId="7" applyFont="1" applyFill="1" applyBorder="1" applyAlignment="1">
      <alignment horizontal="center" vertical="center" wrapText="1"/>
    </xf>
    <xf numFmtId="0" fontId="103" fillId="15" borderId="21" xfId="7" applyFont="1" applyFill="1" applyBorder="1" applyAlignment="1">
      <alignment horizontal="center" vertical="center" wrapText="1"/>
    </xf>
    <xf numFmtId="0" fontId="103" fillId="15" borderId="22" xfId="7" applyFont="1" applyFill="1" applyBorder="1" applyAlignment="1">
      <alignment horizontal="center" vertical="center" wrapText="1"/>
    </xf>
    <xf numFmtId="0" fontId="101" fillId="14" borderId="59" xfId="7" applyFont="1" applyFill="1" applyBorder="1" applyAlignment="1">
      <alignment horizontal="right" vertical="center" wrapText="1"/>
    </xf>
    <xf numFmtId="0" fontId="101" fillId="14" borderId="26" xfId="7" applyFont="1" applyFill="1" applyBorder="1" applyAlignment="1">
      <alignment horizontal="right" vertical="center" wrapText="1"/>
    </xf>
    <xf numFmtId="0" fontId="101" fillId="14" borderId="24" xfId="7" applyFont="1" applyFill="1" applyBorder="1" applyAlignment="1">
      <alignment horizontal="center" vertical="center" wrapText="1"/>
    </xf>
    <xf numFmtId="0" fontId="101" fillId="14" borderId="23" xfId="7" applyFont="1" applyFill="1" applyBorder="1" applyAlignment="1">
      <alignment horizontal="center" vertical="center" wrapText="1"/>
    </xf>
    <xf numFmtId="0" fontId="101" fillId="14" borderId="26" xfId="7" applyFont="1" applyFill="1" applyBorder="1" applyAlignment="1">
      <alignment horizontal="center" vertical="center" wrapText="1"/>
    </xf>
    <xf numFmtId="49" fontId="101" fillId="0" borderId="1" xfId="7" applyNumberFormat="1" applyFont="1" applyFill="1" applyBorder="1" applyAlignment="1">
      <alignment horizontal="left" vertical="center" wrapText="1"/>
    </xf>
    <xf numFmtId="49" fontId="101" fillId="0" borderId="17" xfId="7" applyNumberFormat="1" applyFont="1" applyFill="1" applyBorder="1" applyAlignment="1">
      <alignment horizontal="left" vertical="center" wrapText="1"/>
    </xf>
    <xf numFmtId="4" fontId="101" fillId="14" borderId="10" xfId="7" applyNumberFormat="1" applyFont="1" applyFill="1" applyBorder="1" applyAlignment="1">
      <alignment horizontal="center" vertical="center"/>
    </xf>
    <xf numFmtId="4" fontId="101" fillId="14" borderId="11" xfId="7" applyNumberFormat="1" applyFont="1" applyFill="1" applyBorder="1" applyAlignment="1">
      <alignment horizontal="center" vertical="center"/>
    </xf>
    <xf numFmtId="4" fontId="101" fillId="14" borderId="48" xfId="7" applyNumberFormat="1" applyFont="1" applyFill="1" applyBorder="1" applyAlignment="1">
      <alignment horizontal="center" vertical="center"/>
    </xf>
    <xf numFmtId="49" fontId="100" fillId="13" borderId="2" xfId="7" applyNumberFormat="1" applyFont="1" applyFill="1" applyBorder="1" applyAlignment="1">
      <alignment horizontal="left" vertical="top"/>
    </xf>
    <xf numFmtId="49" fontId="100" fillId="13" borderId="3" xfId="7" applyNumberFormat="1" applyFont="1" applyFill="1" applyBorder="1" applyAlignment="1">
      <alignment horizontal="left" vertical="top"/>
    </xf>
    <xf numFmtId="49" fontId="100" fillId="13" borderId="19" xfId="7" applyNumberFormat="1" applyFont="1" applyFill="1" applyBorder="1" applyAlignment="1">
      <alignment horizontal="left" vertical="top"/>
    </xf>
    <xf numFmtId="49" fontId="100" fillId="13" borderId="8" xfId="7" applyNumberFormat="1" applyFont="1" applyFill="1" applyBorder="1" applyAlignment="1">
      <alignment horizontal="left" vertical="top"/>
    </xf>
    <xf numFmtId="49" fontId="100" fillId="13" borderId="0" xfId="7" applyNumberFormat="1" applyFont="1" applyFill="1" applyBorder="1" applyAlignment="1">
      <alignment horizontal="left" vertical="top"/>
    </xf>
    <xf numFmtId="49" fontId="100" fillId="13" borderId="30" xfId="7" applyNumberFormat="1" applyFont="1" applyFill="1" applyBorder="1" applyAlignment="1">
      <alignment horizontal="left" vertical="top"/>
    </xf>
    <xf numFmtId="49" fontId="100" fillId="13" borderId="72" xfId="7" applyNumberFormat="1" applyFont="1" applyFill="1" applyBorder="1" applyAlignment="1">
      <alignment horizontal="left" vertical="top"/>
    </xf>
    <xf numFmtId="49" fontId="100" fillId="13" borderId="21" xfId="7" applyNumberFormat="1" applyFont="1" applyFill="1" applyBorder="1" applyAlignment="1">
      <alignment horizontal="left" vertical="top"/>
    </xf>
    <xf numFmtId="49" fontId="100" fillId="13" borderId="22" xfId="7" applyNumberFormat="1" applyFont="1" applyFill="1" applyBorder="1" applyAlignment="1">
      <alignment horizontal="left" vertical="top"/>
    </xf>
    <xf numFmtId="0" fontId="100" fillId="0" borderId="18" xfId="7" applyFont="1" applyBorder="1" applyAlignment="1">
      <alignment horizontal="center"/>
    </xf>
    <xf numFmtId="0" fontId="100" fillId="0" borderId="3" xfId="7" applyFont="1" applyBorder="1" applyAlignment="1">
      <alignment horizontal="center"/>
    </xf>
    <xf numFmtId="0" fontId="100" fillId="0" borderId="4" xfId="7" applyFont="1" applyBorder="1" applyAlignment="1">
      <alignment horizontal="center"/>
    </xf>
    <xf numFmtId="0" fontId="100" fillId="0" borderId="33" xfId="7" applyFont="1" applyBorder="1" applyAlignment="1">
      <alignment horizontal="center"/>
    </xf>
    <xf numFmtId="0" fontId="100" fillId="0" borderId="0" xfId="7" applyFont="1" applyBorder="1" applyAlignment="1">
      <alignment horizontal="center"/>
    </xf>
    <xf numFmtId="0" fontId="100" fillId="0" borderId="7" xfId="7" applyFont="1" applyBorder="1" applyAlignment="1">
      <alignment horizontal="center"/>
    </xf>
    <xf numFmtId="0" fontId="100" fillId="0" borderId="20" xfId="7" applyFont="1" applyBorder="1" applyAlignment="1">
      <alignment horizontal="center"/>
    </xf>
    <xf numFmtId="0" fontId="100" fillId="0" borderId="21" xfId="7" applyFont="1" applyBorder="1" applyAlignment="1">
      <alignment horizontal="center"/>
    </xf>
    <xf numFmtId="0" fontId="100" fillId="0" borderId="74" xfId="7" applyFont="1" applyBorder="1" applyAlignment="1">
      <alignment horizontal="center"/>
    </xf>
    <xf numFmtId="0" fontId="10" fillId="0" borderId="2" xfId="0" applyFont="1" applyFill="1" applyBorder="1" applyAlignment="1" applyProtection="1">
      <alignment horizontal="center" vertical="top" wrapText="1"/>
      <protection locked="0"/>
    </xf>
    <xf numFmtId="0" fontId="10" fillId="0" borderId="3" xfId="0" applyFont="1" applyFill="1" applyBorder="1" applyAlignment="1" applyProtection="1">
      <alignment horizontal="center" vertical="top" wrapText="1"/>
      <protection locked="0"/>
    </xf>
    <xf numFmtId="0" fontId="10" fillId="0" borderId="19" xfId="0" applyFont="1" applyFill="1" applyBorder="1" applyAlignment="1" applyProtection="1">
      <alignment horizontal="center" vertical="top" wrapText="1"/>
      <protection locked="0"/>
    </xf>
    <xf numFmtId="0" fontId="10" fillId="0" borderId="8" xfId="0" applyFont="1" applyFill="1" applyBorder="1" applyAlignment="1" applyProtection="1">
      <alignment horizontal="center" vertical="top" wrapText="1"/>
      <protection locked="0"/>
    </xf>
    <xf numFmtId="0" fontId="10" fillId="0" borderId="0" xfId="0" applyFont="1" applyFill="1" applyBorder="1" applyAlignment="1" applyProtection="1">
      <alignment horizontal="center" vertical="top" wrapText="1"/>
      <protection locked="0"/>
    </xf>
    <xf numFmtId="0" fontId="10" fillId="0" borderId="30" xfId="0" applyFont="1" applyFill="1" applyBorder="1" applyAlignment="1" applyProtection="1">
      <alignment horizontal="center" vertical="top" wrapText="1"/>
      <protection locked="0"/>
    </xf>
    <xf numFmtId="0" fontId="10" fillId="0" borderId="5" xfId="0" applyFont="1" applyFill="1" applyBorder="1" applyAlignment="1" applyProtection="1">
      <alignment horizontal="center" vertical="top" wrapText="1"/>
      <protection locked="0"/>
    </xf>
    <xf numFmtId="0" fontId="10" fillId="0" borderId="1" xfId="0" applyFont="1" applyFill="1" applyBorder="1" applyAlignment="1" applyProtection="1">
      <alignment horizontal="center" vertical="top" wrapText="1"/>
      <protection locked="0"/>
    </xf>
    <xf numFmtId="0" fontId="10" fillId="0" borderId="17" xfId="0" applyFont="1" applyFill="1" applyBorder="1" applyAlignment="1" applyProtection="1">
      <alignment horizontal="center" vertical="top" wrapText="1"/>
      <protection locked="0"/>
    </xf>
    <xf numFmtId="49" fontId="43" fillId="0" borderId="57" xfId="0" applyNumberFormat="1" applyFont="1" applyFill="1" applyBorder="1" applyAlignment="1" applyProtection="1">
      <alignment horizontal="center" vertical="top" wrapText="1"/>
      <protection locked="0"/>
    </xf>
    <xf numFmtId="49" fontId="43" fillId="0" borderId="70" xfId="0" applyNumberFormat="1" applyFont="1" applyFill="1" applyBorder="1" applyAlignment="1" applyProtection="1">
      <alignment horizontal="center" vertical="top" wrapText="1"/>
      <protection locked="0"/>
    </xf>
    <xf numFmtId="49" fontId="43" fillId="0" borderId="59" xfId="0" applyNumberFormat="1" applyFont="1" applyFill="1" applyBorder="1" applyAlignment="1" applyProtection="1">
      <alignment horizontal="center" vertical="top" wrapText="1"/>
      <protection locked="0"/>
    </xf>
    <xf numFmtId="49" fontId="43" fillId="0" borderId="61" xfId="0" applyNumberFormat="1" applyFont="1" applyFill="1" applyBorder="1" applyAlignment="1" applyProtection="1">
      <alignment horizontal="center" vertical="top" wrapText="1"/>
      <protection locked="0"/>
    </xf>
    <xf numFmtId="0" fontId="10" fillId="0" borderId="72" xfId="0" applyFont="1" applyFill="1" applyBorder="1" applyAlignment="1" applyProtection="1">
      <alignment horizontal="center" vertical="top" wrapText="1"/>
      <protection locked="0"/>
    </xf>
    <xf numFmtId="0" fontId="10" fillId="0" borderId="21" xfId="0" applyFont="1" applyFill="1" applyBorder="1" applyAlignment="1" applyProtection="1">
      <alignment horizontal="center" vertical="top" wrapText="1"/>
      <protection locked="0"/>
    </xf>
    <xf numFmtId="0" fontId="10" fillId="0" borderId="22" xfId="0" applyFont="1" applyFill="1" applyBorder="1" applyAlignment="1" applyProtection="1">
      <alignment horizontal="center" vertical="top" wrapText="1"/>
      <protection locked="0"/>
    </xf>
  </cellXfs>
  <cellStyles count="9">
    <cellStyle name="normální_2-1" xfId="4"/>
    <cellStyle name="Œ…‹æØ‚è [0.00]_laroux" xfId="1"/>
    <cellStyle name="Œ…‹æØ‚è_laroux" xfId="2"/>
    <cellStyle name="Обычный" xfId="0" builtinId="0"/>
    <cellStyle name="Обычный 2" xfId="3"/>
    <cellStyle name="Обычный 3" xfId="6"/>
    <cellStyle name="Обычный 4" xfId="7"/>
    <cellStyle name="Обычный 5" xfId="8"/>
    <cellStyle name="Процентный 2" xfId="5"/>
  </cellStyles>
  <dxfs count="6">
    <dxf>
      <fill>
        <patternFill>
          <bgColor indexed="13"/>
        </patternFill>
      </fill>
    </dxf>
    <dxf>
      <fill>
        <patternFill>
          <bgColor indexed="13"/>
        </patternFill>
      </fill>
    </dxf>
    <dxf>
      <fill>
        <patternFill>
          <bgColor indexed="10"/>
        </patternFill>
      </fill>
    </dxf>
    <dxf>
      <fill>
        <patternFill>
          <bgColor indexed="10"/>
        </patternFill>
      </fill>
    </dxf>
    <dxf>
      <fill>
        <patternFill>
          <bgColor indexed="13"/>
        </patternFill>
      </fill>
    </dxf>
    <dxf>
      <fill>
        <patternFill>
          <bgColor indexed="1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ru-RU" sz="1200" b="1" i="0" u="none" strike="noStrike" baseline="0">
                <a:solidFill>
                  <a:srgbClr val="000000"/>
                </a:solidFill>
                <a:latin typeface="Arial"/>
                <a:cs typeface="Arial"/>
              </a:rPr>
              <a:t>Средние (X chart)</a:t>
            </a:r>
          </a:p>
        </c:rich>
      </c:tx>
      <c:layout>
        <c:manualLayout>
          <c:xMode val="edge"/>
          <c:yMode val="edge"/>
          <c:x val="0.45118588198453213"/>
          <c:y val="1.2667431916279007E-2"/>
        </c:manualLayout>
      </c:layout>
      <c:overlay val="0"/>
      <c:spPr>
        <a:noFill/>
        <a:ln w="25400">
          <a:noFill/>
        </a:ln>
      </c:spPr>
    </c:title>
    <c:autoTitleDeleted val="0"/>
    <c:plotArea>
      <c:layout>
        <c:manualLayout>
          <c:layoutTarget val="inner"/>
          <c:xMode val="edge"/>
          <c:yMode val="edge"/>
          <c:x val="0.10495179052474365"/>
          <c:y val="7.5630466119609011E-2"/>
          <c:w val="0.88347477396948393"/>
          <c:h val="0.71196956036735382"/>
        </c:manualLayout>
      </c:layout>
      <c:lineChart>
        <c:grouping val="standard"/>
        <c:varyColors val="0"/>
        <c:ser>
          <c:idx val="3"/>
          <c:order val="0"/>
          <c:tx>
            <c:strRef>
              <c:f>'11SPC'!$AF$19</c:f>
              <c:strCache>
                <c:ptCount val="1"/>
                <c:pt idx="0">
                  <c:v>Data Values</c:v>
                </c:pt>
              </c:strCache>
            </c:strRef>
          </c:tx>
          <c:spPr>
            <a:ln w="38100">
              <a:solidFill>
                <a:srgbClr val="0000FF"/>
              </a:solidFill>
              <a:prstDash val="solid"/>
            </a:ln>
          </c:spPr>
          <c:marker>
            <c:symbol val="none"/>
          </c:marker>
          <c:val>
            <c:numRef>
              <c:f>'11SPC'!$AF$64:$BD$64</c:f>
              <c:numCache>
                <c:formatCode>General</c:formatCode>
                <c:ptCount val="25"/>
                <c:pt idx="0">
                  <c:v>849.75</c:v>
                </c:pt>
                <c:pt idx="1">
                  <c:v>850.125</c:v>
                </c:pt>
                <c:pt idx="2">
                  <c:v>850</c:v>
                </c:pt>
                <c:pt idx="3">
                  <c:v>849.875</c:v>
                </c:pt>
                <c:pt idx="4">
                  <c:v>849.5</c:v>
                </c:pt>
                <c:pt idx="5">
                  <c:v>849.75</c:v>
                </c:pt>
                <c:pt idx="6">
                  <c:v>850.375</c:v>
                </c:pt>
                <c:pt idx="7">
                  <c:v>850.125</c:v>
                </c:pt>
                <c:pt idx="8">
                  <c:v>849.375</c:v>
                </c:pt>
                <c:pt idx="9">
                  <c:v>849.375</c:v>
                </c:pt>
                <c:pt idx="10">
                  <c:v>849.82500000000005</c:v>
                </c:pt>
                <c:pt idx="11">
                  <c:v>849.82500000000005</c:v>
                </c:pt>
                <c:pt idx="12">
                  <c:v>849.82500000000005</c:v>
                </c:pt>
                <c:pt idx="13">
                  <c:v>849.82500000000005</c:v>
                </c:pt>
                <c:pt idx="14">
                  <c:v>849.82500000000005</c:v>
                </c:pt>
                <c:pt idx="15">
                  <c:v>849.82500000000005</c:v>
                </c:pt>
                <c:pt idx="16">
                  <c:v>849.82500000000005</c:v>
                </c:pt>
                <c:pt idx="17">
                  <c:v>849.82500000000005</c:v>
                </c:pt>
                <c:pt idx="18">
                  <c:v>849.82500000000005</c:v>
                </c:pt>
                <c:pt idx="19">
                  <c:v>849.82500000000005</c:v>
                </c:pt>
                <c:pt idx="20">
                  <c:v>849.82500000000005</c:v>
                </c:pt>
                <c:pt idx="21">
                  <c:v>849.82500000000005</c:v>
                </c:pt>
                <c:pt idx="22">
                  <c:v>849.82500000000005</c:v>
                </c:pt>
                <c:pt idx="23">
                  <c:v>849.82500000000005</c:v>
                </c:pt>
                <c:pt idx="24">
                  <c:v>849.82500000000005</c:v>
                </c:pt>
              </c:numCache>
            </c:numRef>
          </c:val>
          <c:smooth val="0"/>
          <c:extLst>
            <c:ext xmlns:c16="http://schemas.microsoft.com/office/drawing/2014/chart" uri="{C3380CC4-5D6E-409C-BE32-E72D297353CC}">
              <c16:uniqueId val="{00000000-7BC9-4C6B-A97F-D3D351AE1918}"/>
            </c:ext>
          </c:extLst>
        </c:ser>
        <c:ser>
          <c:idx val="0"/>
          <c:order val="1"/>
          <c:tx>
            <c:strRef>
              <c:f>'11SPC'!$AI$16</c:f>
              <c:strCache>
                <c:ptCount val="1"/>
                <c:pt idx="0">
                  <c:v>UCLx</c:v>
                </c:pt>
              </c:strCache>
            </c:strRef>
          </c:tx>
          <c:spPr>
            <a:ln w="25400">
              <a:solidFill>
                <a:srgbClr val="FF0000"/>
              </a:solidFill>
              <a:prstDash val="solid"/>
            </a:ln>
          </c:spPr>
          <c:marker>
            <c:symbol val="none"/>
          </c:marker>
          <c:dLbls>
            <c:dLbl>
              <c:idx val="0"/>
              <c:layout>
                <c:manualLayout>
                  <c:x val="-8.1571700818755269E-2"/>
                  <c:y val="5.667016488754984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C9-4C6B-A97F-D3D351AE1918}"/>
                </c:ext>
              </c:extLst>
            </c:dLbl>
            <c:numFmt formatCode="#,##0.0000" sourceLinked="0"/>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ru-RU"/>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Ref>
              <c:f>'11SPC'!$AF$20:$BD$20</c:f>
              <c:numCache>
                <c:formatCode>General</c:formatCode>
                <c:ptCount val="25"/>
                <c:pt idx="0">
                  <c:v>850.22595000000001</c:v>
                </c:pt>
                <c:pt idx="1">
                  <c:v>850.22595000000001</c:v>
                </c:pt>
                <c:pt idx="2">
                  <c:v>850.22595000000001</c:v>
                </c:pt>
                <c:pt idx="3">
                  <c:v>850.22595000000001</c:v>
                </c:pt>
                <c:pt idx="4">
                  <c:v>850.22595000000001</c:v>
                </c:pt>
                <c:pt idx="5">
                  <c:v>850.22595000000001</c:v>
                </c:pt>
                <c:pt idx="6">
                  <c:v>850.22595000000001</c:v>
                </c:pt>
                <c:pt idx="7">
                  <c:v>850.22595000000001</c:v>
                </c:pt>
                <c:pt idx="8">
                  <c:v>850.22595000000001</c:v>
                </c:pt>
                <c:pt idx="9">
                  <c:v>850.22595000000001</c:v>
                </c:pt>
                <c:pt idx="10">
                  <c:v>850.22595000000001</c:v>
                </c:pt>
                <c:pt idx="11">
                  <c:v>850.22595000000001</c:v>
                </c:pt>
                <c:pt idx="12">
                  <c:v>850.22595000000001</c:v>
                </c:pt>
                <c:pt idx="13">
                  <c:v>850.22595000000001</c:v>
                </c:pt>
                <c:pt idx="14">
                  <c:v>850.22595000000001</c:v>
                </c:pt>
                <c:pt idx="15">
                  <c:v>850.22595000000001</c:v>
                </c:pt>
                <c:pt idx="16">
                  <c:v>850.22595000000001</c:v>
                </c:pt>
                <c:pt idx="17">
                  <c:v>850.22595000000001</c:v>
                </c:pt>
                <c:pt idx="18">
                  <c:v>850.22595000000001</c:v>
                </c:pt>
                <c:pt idx="19">
                  <c:v>850.22595000000001</c:v>
                </c:pt>
                <c:pt idx="20">
                  <c:v>850.22595000000001</c:v>
                </c:pt>
                <c:pt idx="21">
                  <c:v>850.22595000000001</c:v>
                </c:pt>
                <c:pt idx="22">
                  <c:v>850.22595000000001</c:v>
                </c:pt>
                <c:pt idx="23">
                  <c:v>850.22595000000001</c:v>
                </c:pt>
                <c:pt idx="24">
                  <c:v>850.22595000000001</c:v>
                </c:pt>
              </c:numCache>
            </c:numRef>
          </c:val>
          <c:smooth val="0"/>
          <c:extLst>
            <c:ext xmlns:c16="http://schemas.microsoft.com/office/drawing/2014/chart" uri="{C3380CC4-5D6E-409C-BE32-E72D297353CC}">
              <c16:uniqueId val="{00000002-7BC9-4C6B-A97F-D3D351AE1918}"/>
            </c:ext>
          </c:extLst>
        </c:ser>
        <c:ser>
          <c:idx val="1"/>
          <c:order val="2"/>
          <c:tx>
            <c:strRef>
              <c:f>'11SPC'!$AF$16</c:f>
              <c:strCache>
                <c:ptCount val="1"/>
                <c:pt idx="0">
                  <c:v>AveX</c:v>
                </c:pt>
              </c:strCache>
            </c:strRef>
          </c:tx>
          <c:spPr>
            <a:ln w="38100">
              <a:solidFill>
                <a:srgbClr val="00FF00"/>
              </a:solidFill>
              <a:prstDash val="solid"/>
            </a:ln>
          </c:spPr>
          <c:marker>
            <c:symbol val="none"/>
          </c:marker>
          <c:dLbls>
            <c:dLbl>
              <c:idx val="0"/>
              <c:layout>
                <c:manualLayout>
                  <c:x val="-6.5986696705147466E-2"/>
                  <c:y val="7.251944781463843E-3"/>
                </c:manualLayout>
              </c:layout>
              <c:numFmt formatCode="#,##0.0000" sourceLinked="0"/>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C9-4C6B-A97F-D3D351AE1918}"/>
                </c:ext>
              </c:extLst>
            </c:dLbl>
            <c:spPr>
              <a:noFill/>
              <a:ln w="25400">
                <a:noFill/>
              </a:ln>
            </c:spPr>
            <c:txPr>
              <a:bodyPr/>
              <a:lstStyle/>
              <a:p>
                <a:pPr>
                  <a:defRPr sz="1000" b="0" i="0" u="none" strike="noStrike" baseline="0">
                    <a:solidFill>
                      <a:srgbClr val="000000"/>
                    </a:solidFill>
                    <a:latin typeface="Arial"/>
                    <a:ea typeface="Arial"/>
                    <a:cs typeface="Arial"/>
                  </a:defRPr>
                </a:pPr>
                <a:endParaRPr lang="ru-RU"/>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Ref>
              <c:f>'11SPC'!$AF$21:$BD$21</c:f>
              <c:numCache>
                <c:formatCode>General</c:formatCode>
                <c:ptCount val="25"/>
                <c:pt idx="0">
                  <c:v>849.82500000000005</c:v>
                </c:pt>
                <c:pt idx="1">
                  <c:v>849.82500000000005</c:v>
                </c:pt>
                <c:pt idx="2">
                  <c:v>849.82500000000005</c:v>
                </c:pt>
                <c:pt idx="3">
                  <c:v>849.82500000000005</c:v>
                </c:pt>
                <c:pt idx="4">
                  <c:v>849.82500000000005</c:v>
                </c:pt>
                <c:pt idx="5">
                  <c:v>849.82500000000005</c:v>
                </c:pt>
                <c:pt idx="6">
                  <c:v>849.82500000000005</c:v>
                </c:pt>
                <c:pt idx="7">
                  <c:v>849.82500000000005</c:v>
                </c:pt>
                <c:pt idx="8">
                  <c:v>849.82500000000005</c:v>
                </c:pt>
                <c:pt idx="9">
                  <c:v>849.82500000000005</c:v>
                </c:pt>
                <c:pt idx="10">
                  <c:v>849.82500000000005</c:v>
                </c:pt>
                <c:pt idx="11">
                  <c:v>849.82500000000005</c:v>
                </c:pt>
                <c:pt idx="12">
                  <c:v>849.82500000000005</c:v>
                </c:pt>
                <c:pt idx="13">
                  <c:v>849.82500000000005</c:v>
                </c:pt>
                <c:pt idx="14">
                  <c:v>849.82500000000005</c:v>
                </c:pt>
                <c:pt idx="15">
                  <c:v>849.82500000000005</c:v>
                </c:pt>
                <c:pt idx="16">
                  <c:v>849.82500000000005</c:v>
                </c:pt>
                <c:pt idx="17">
                  <c:v>849.82500000000005</c:v>
                </c:pt>
                <c:pt idx="18">
                  <c:v>849.82500000000005</c:v>
                </c:pt>
                <c:pt idx="19">
                  <c:v>849.82500000000005</c:v>
                </c:pt>
                <c:pt idx="20">
                  <c:v>849.82500000000005</c:v>
                </c:pt>
                <c:pt idx="21">
                  <c:v>849.82500000000005</c:v>
                </c:pt>
                <c:pt idx="22">
                  <c:v>849.82500000000005</c:v>
                </c:pt>
                <c:pt idx="23">
                  <c:v>849.82500000000005</c:v>
                </c:pt>
                <c:pt idx="24">
                  <c:v>849.82500000000005</c:v>
                </c:pt>
              </c:numCache>
            </c:numRef>
          </c:val>
          <c:smooth val="0"/>
          <c:extLst>
            <c:ext xmlns:c16="http://schemas.microsoft.com/office/drawing/2014/chart" uri="{C3380CC4-5D6E-409C-BE32-E72D297353CC}">
              <c16:uniqueId val="{00000004-7BC9-4C6B-A97F-D3D351AE1918}"/>
            </c:ext>
          </c:extLst>
        </c:ser>
        <c:ser>
          <c:idx val="2"/>
          <c:order val="3"/>
          <c:tx>
            <c:strRef>
              <c:f>'11SPC'!$AI$17</c:f>
              <c:strCache>
                <c:ptCount val="1"/>
                <c:pt idx="0">
                  <c:v>LCLx</c:v>
                </c:pt>
              </c:strCache>
            </c:strRef>
          </c:tx>
          <c:spPr>
            <a:ln w="25400">
              <a:solidFill>
                <a:srgbClr val="FF0000"/>
              </a:solidFill>
              <a:prstDash val="solid"/>
            </a:ln>
          </c:spPr>
          <c:marker>
            <c:symbol val="none"/>
          </c:marker>
          <c:dLbls>
            <c:dLbl>
              <c:idx val="0"/>
              <c:layout>
                <c:manualLayout>
                  <c:x val="-7.9233950201714101E-2"/>
                  <c:y val="1.6470408700896513E-2"/>
                </c:manualLayout>
              </c:layout>
              <c:numFmt formatCode="#,##0.0000" sourceLinked="0"/>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C9-4C6B-A97F-D3D351AE1918}"/>
                </c:ext>
              </c:extLst>
            </c:dLbl>
            <c:numFmt formatCode="#,##0.0000" sourceLinked="0"/>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ru-RU"/>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Ref>
              <c:f>'11SPC'!$AF$22:$BD$22</c:f>
              <c:numCache>
                <c:formatCode>General</c:formatCode>
                <c:ptCount val="25"/>
                <c:pt idx="0">
                  <c:v>849.42405000000008</c:v>
                </c:pt>
                <c:pt idx="1">
                  <c:v>849.42405000000008</c:v>
                </c:pt>
                <c:pt idx="2">
                  <c:v>849.42405000000008</c:v>
                </c:pt>
                <c:pt idx="3">
                  <c:v>849.42405000000008</c:v>
                </c:pt>
                <c:pt idx="4">
                  <c:v>849.42405000000008</c:v>
                </c:pt>
                <c:pt idx="5">
                  <c:v>849.42405000000008</c:v>
                </c:pt>
                <c:pt idx="6">
                  <c:v>849.42405000000008</c:v>
                </c:pt>
                <c:pt idx="7">
                  <c:v>849.42405000000008</c:v>
                </c:pt>
                <c:pt idx="8">
                  <c:v>849.42405000000008</c:v>
                </c:pt>
                <c:pt idx="9">
                  <c:v>849.42405000000008</c:v>
                </c:pt>
                <c:pt idx="10">
                  <c:v>849.42405000000008</c:v>
                </c:pt>
                <c:pt idx="11">
                  <c:v>849.42405000000008</c:v>
                </c:pt>
                <c:pt idx="12">
                  <c:v>849.42405000000008</c:v>
                </c:pt>
                <c:pt idx="13">
                  <c:v>849.42405000000008</c:v>
                </c:pt>
                <c:pt idx="14">
                  <c:v>849.42405000000008</c:v>
                </c:pt>
                <c:pt idx="15">
                  <c:v>849.42405000000008</c:v>
                </c:pt>
                <c:pt idx="16">
                  <c:v>849.42405000000008</c:v>
                </c:pt>
                <c:pt idx="17">
                  <c:v>849.42405000000008</c:v>
                </c:pt>
                <c:pt idx="18">
                  <c:v>849.42405000000008</c:v>
                </c:pt>
                <c:pt idx="19">
                  <c:v>849.42405000000008</c:v>
                </c:pt>
                <c:pt idx="20">
                  <c:v>849.42405000000008</c:v>
                </c:pt>
                <c:pt idx="21">
                  <c:v>849.42405000000008</c:v>
                </c:pt>
                <c:pt idx="22">
                  <c:v>849.42405000000008</c:v>
                </c:pt>
                <c:pt idx="23">
                  <c:v>849.42405000000008</c:v>
                </c:pt>
                <c:pt idx="24">
                  <c:v>849.42405000000008</c:v>
                </c:pt>
              </c:numCache>
            </c:numRef>
          </c:val>
          <c:smooth val="0"/>
          <c:extLst>
            <c:ext xmlns:c16="http://schemas.microsoft.com/office/drawing/2014/chart" uri="{C3380CC4-5D6E-409C-BE32-E72D297353CC}">
              <c16:uniqueId val="{00000006-7BC9-4C6B-A97F-D3D351AE1918}"/>
            </c:ext>
          </c:extLst>
        </c:ser>
        <c:dLbls>
          <c:showLegendKey val="0"/>
          <c:showVal val="0"/>
          <c:showCatName val="0"/>
          <c:showSerName val="0"/>
          <c:showPercent val="0"/>
          <c:showBubbleSize val="0"/>
        </c:dLbls>
        <c:smooth val="0"/>
        <c:axId val="76062720"/>
        <c:axId val="76064640"/>
      </c:lineChart>
      <c:catAx>
        <c:axId val="760627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ru-RU"/>
                  <a:t>Выборка</a:t>
                </a:r>
              </a:p>
            </c:rich>
          </c:tx>
          <c:layout>
            <c:manualLayout>
              <c:xMode val="edge"/>
              <c:yMode val="edge"/>
              <c:x val="0.52521465036650639"/>
              <c:y val="0.8639190177954098"/>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76064640"/>
        <c:crosses val="autoZero"/>
        <c:auto val="0"/>
        <c:lblAlgn val="ctr"/>
        <c:lblOffset val="100"/>
        <c:tickLblSkip val="1"/>
        <c:tickMarkSkip val="1"/>
        <c:noMultiLvlLbl val="0"/>
      </c:catAx>
      <c:valAx>
        <c:axId val="76064640"/>
        <c:scaling>
          <c:orientation val="minMax"/>
        </c:scaling>
        <c:delete val="0"/>
        <c:axPos val="l"/>
        <c:majorGridlines>
          <c:spPr>
            <a:ln w="3175">
              <a:solidFill>
                <a:srgbClr val="000000"/>
              </a:solidFill>
              <a:prstDash val="sysDash"/>
            </a:ln>
          </c:spPr>
        </c:majorGridlines>
        <c:title>
          <c:tx>
            <c:rich>
              <a:bodyPr/>
              <a:lstStyle/>
              <a:p>
                <a:pPr>
                  <a:defRPr sz="1200" b="1" i="0" u="none" strike="noStrike" baseline="0">
                    <a:solidFill>
                      <a:srgbClr val="000000"/>
                    </a:solidFill>
                    <a:latin typeface="Arial"/>
                    <a:ea typeface="Arial"/>
                    <a:cs typeface="Arial"/>
                  </a:defRPr>
                </a:pPr>
                <a:r>
                  <a:rPr lang="ru-RU"/>
                  <a:t>Средние</a:t>
                </a:r>
              </a:p>
            </c:rich>
          </c:tx>
          <c:layout>
            <c:manualLayout>
              <c:xMode val="edge"/>
              <c:yMode val="edge"/>
              <c:x val="3.896216269669588E-3"/>
              <c:y val="0.314152418927173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76062720"/>
        <c:crosses val="autoZero"/>
        <c:crossBetween val="midCat"/>
      </c:valAx>
      <c:spPr>
        <a:solidFill>
          <a:srgbClr val="FFFFFF"/>
        </a:solidFill>
        <a:ln w="12700">
          <a:solidFill>
            <a:srgbClr val="808080"/>
          </a:solidFill>
          <a:prstDash val="solid"/>
        </a:ln>
      </c:spPr>
    </c:plotArea>
    <c:legend>
      <c:legendPos val="r"/>
      <c:layout>
        <c:manualLayout>
          <c:xMode val="edge"/>
          <c:yMode val="edge"/>
          <c:x val="7.910546895923723E-2"/>
          <c:y val="0.93364507185962375"/>
          <c:w val="0.21851905874403063"/>
          <c:h val="5.4766900940451446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ru-RU"/>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oddHeader>&amp;A</c:oddHeader>
      <c:oddFooter>Page &amp;P</c:oddFooter>
    </c:headerFooter>
    <c:pageMargins b="1" l="0.75" r="0.75" t="1" header="0.5" footer="0.5"/>
    <c:pageSetup orientation="landscape" horizontalDpi="20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Диаграмма размаха - испытатель "</a:t>
            </a:r>
            <a:r>
              <a:rPr lang="en-US"/>
              <a:t>B"</a:t>
            </a:r>
          </a:p>
        </c:rich>
      </c:tx>
      <c:layout>
        <c:manualLayout>
          <c:xMode val="edge"/>
          <c:yMode val="edge"/>
          <c:x val="0.15254283480051717"/>
          <c:y val="3.8314176245210725E-2"/>
        </c:manualLayout>
      </c:layout>
      <c:overlay val="0"/>
      <c:spPr>
        <a:noFill/>
        <a:ln w="25400">
          <a:noFill/>
        </a:ln>
      </c:spPr>
    </c:title>
    <c:autoTitleDeleted val="0"/>
    <c:plotArea>
      <c:layout>
        <c:manualLayout>
          <c:layoutTarget val="inner"/>
          <c:xMode val="edge"/>
          <c:yMode val="edge"/>
          <c:x val="0.11186459193689079"/>
          <c:y val="0.29502026094147088"/>
          <c:w val="0.84745902982492949"/>
          <c:h val="0.40230035582927776"/>
        </c:manualLayout>
      </c:layout>
      <c:lineChart>
        <c:grouping val="standard"/>
        <c:varyColors val="0"/>
        <c:ser>
          <c:idx val="0"/>
          <c:order val="0"/>
          <c:tx>
            <c:v>Zkušebník B</c:v>
          </c:tx>
          <c:spPr>
            <a:ln w="25400">
              <a:solidFill>
                <a:srgbClr val="0000FF"/>
              </a:solidFill>
              <a:prstDash val="solid"/>
            </a:ln>
          </c:spPr>
          <c:marker>
            <c:symbol val="circle"/>
            <c:size val="5"/>
            <c:spPr>
              <a:solidFill>
                <a:srgbClr val="000000"/>
              </a:solidFill>
              <a:ln>
                <a:solidFill>
                  <a:srgbClr val="000000"/>
                </a:solidFill>
                <a:prstDash val="solid"/>
              </a:ln>
            </c:spPr>
          </c:marker>
          <c:val>
            <c:numRef>
              <c:f>[1]validace!$I$60:$I$69</c:f>
              <c:numCache>
                <c:formatCode>General</c:formatCode>
                <c:ptCount val="10"/>
                <c:pt idx="0">
                  <c:v>0.18</c:v>
                </c:pt>
                <c:pt idx="1">
                  <c:v>0.75</c:v>
                </c:pt>
                <c:pt idx="2">
                  <c:v>0.40000000000000013</c:v>
                </c:pt>
                <c:pt idx="3">
                  <c:v>1.02</c:v>
                </c:pt>
                <c:pt idx="4">
                  <c:v>0.72</c:v>
                </c:pt>
                <c:pt idx="5">
                  <c:v>0.42000000000000004</c:v>
                </c:pt>
                <c:pt idx="6">
                  <c:v>0.36</c:v>
                </c:pt>
                <c:pt idx="7">
                  <c:v>0.71</c:v>
                </c:pt>
                <c:pt idx="8">
                  <c:v>0.3899999999999999</c:v>
                </c:pt>
                <c:pt idx="9">
                  <c:v>0.17999999999999994</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05D5-4EFF-8C0C-06A0EB399B30}"/>
            </c:ext>
          </c:extLst>
        </c:ser>
        <c:ser>
          <c:idx val="3"/>
          <c:order val="1"/>
          <c:tx>
            <c:v>UCL</c:v>
          </c:tx>
          <c:spPr>
            <a:ln w="25400">
              <a:solidFill>
                <a:srgbClr val="FF0000"/>
              </a:solidFill>
              <a:prstDash val="solid"/>
            </a:ln>
          </c:spPr>
          <c:marker>
            <c:symbol val="none"/>
          </c:marker>
          <c:val>
            <c:numRef>
              <c:f>[1]validace!$K$60:$K$69</c:f>
              <c:numCache>
                <c:formatCode>General</c:formatCode>
                <c:ptCount val="10"/>
                <c:pt idx="0">
                  <c:v>0.87945000000000007</c:v>
                </c:pt>
                <c:pt idx="1">
                  <c:v>0.87945000000000007</c:v>
                </c:pt>
                <c:pt idx="2">
                  <c:v>0.87945000000000007</c:v>
                </c:pt>
                <c:pt idx="3">
                  <c:v>0.87945000000000007</c:v>
                </c:pt>
                <c:pt idx="4">
                  <c:v>0.87945000000000007</c:v>
                </c:pt>
                <c:pt idx="5">
                  <c:v>0.87945000000000007</c:v>
                </c:pt>
                <c:pt idx="6">
                  <c:v>0.87945000000000007</c:v>
                </c:pt>
                <c:pt idx="7">
                  <c:v>0.87945000000000007</c:v>
                </c:pt>
                <c:pt idx="8">
                  <c:v>0.87945000000000007</c:v>
                </c:pt>
                <c:pt idx="9">
                  <c:v>0.87945000000000007</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05D5-4EFF-8C0C-06A0EB399B30}"/>
            </c:ext>
          </c:extLst>
        </c:ser>
        <c:ser>
          <c:idx val="4"/>
          <c:order val="2"/>
          <c:tx>
            <c:v>CL</c:v>
          </c:tx>
          <c:spPr>
            <a:ln w="25400">
              <a:solidFill>
                <a:srgbClr val="FF0000"/>
              </a:solidFill>
              <a:prstDash val="sysDash"/>
            </a:ln>
          </c:spPr>
          <c:marker>
            <c:symbol val="none"/>
          </c:marker>
          <c:val>
            <c:numRef>
              <c:f>[1]validace!$L$60:$L$69</c:f>
              <c:numCache>
                <c:formatCode>General</c:formatCode>
                <c:ptCount val="10"/>
                <c:pt idx="0">
                  <c:v>0.34166666666666673</c:v>
                </c:pt>
                <c:pt idx="1">
                  <c:v>0.34166666666666673</c:v>
                </c:pt>
                <c:pt idx="2">
                  <c:v>0.34166666666666673</c:v>
                </c:pt>
                <c:pt idx="3">
                  <c:v>0.34166666666666673</c:v>
                </c:pt>
                <c:pt idx="4">
                  <c:v>0.34166666666666673</c:v>
                </c:pt>
                <c:pt idx="5">
                  <c:v>0.34166666666666673</c:v>
                </c:pt>
                <c:pt idx="6">
                  <c:v>0.34166666666666673</c:v>
                </c:pt>
                <c:pt idx="7">
                  <c:v>0.34166666666666673</c:v>
                </c:pt>
                <c:pt idx="8">
                  <c:v>0.34166666666666673</c:v>
                </c:pt>
                <c:pt idx="9">
                  <c:v>0.34166666666666673</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2-05D5-4EFF-8C0C-06A0EB399B30}"/>
            </c:ext>
          </c:extLst>
        </c:ser>
        <c:dLbls>
          <c:showLegendKey val="0"/>
          <c:showVal val="0"/>
          <c:showCatName val="0"/>
          <c:showSerName val="0"/>
          <c:showPercent val="0"/>
          <c:showBubbleSize val="0"/>
        </c:dLbls>
        <c:marker val="1"/>
        <c:smooth val="0"/>
        <c:axId val="85929344"/>
        <c:axId val="85947904"/>
      </c:lineChart>
      <c:catAx>
        <c:axId val="85929344"/>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33559380298701602"/>
              <c:y val="0.800769099264890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5947904"/>
        <c:crosses val="autoZero"/>
        <c:auto val="1"/>
        <c:lblAlgn val="ctr"/>
        <c:lblOffset val="100"/>
        <c:tickLblSkip val="1"/>
        <c:tickMarkSkip val="1"/>
        <c:noMultiLvlLbl val="0"/>
      </c:catAx>
      <c:valAx>
        <c:axId val="85947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5929344"/>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Диаграмма размаха - испытатель "</a:t>
            </a:r>
            <a:r>
              <a:rPr lang="en-US"/>
              <a:t>C"</a:t>
            </a:r>
          </a:p>
        </c:rich>
      </c:tx>
      <c:layout>
        <c:manualLayout>
          <c:xMode val="edge"/>
          <c:yMode val="edge"/>
          <c:x val="0.16720255762422223"/>
          <c:y val="3.8314176245210725E-2"/>
        </c:manualLayout>
      </c:layout>
      <c:overlay val="0"/>
      <c:spPr>
        <a:noFill/>
        <a:ln w="25400">
          <a:noFill/>
        </a:ln>
      </c:spPr>
    </c:title>
    <c:autoTitleDeleted val="0"/>
    <c:plotArea>
      <c:layout>
        <c:manualLayout>
          <c:layoutTarget val="inner"/>
          <c:xMode val="edge"/>
          <c:yMode val="edge"/>
          <c:x val="0.10610932475884249"/>
          <c:y val="0.31034598878258568"/>
          <c:w val="0.85530546623794212"/>
          <c:h val="0.37164890014704738"/>
        </c:manualLayout>
      </c:layout>
      <c:lineChart>
        <c:grouping val="standard"/>
        <c:varyColors val="0"/>
        <c:ser>
          <c:idx val="0"/>
          <c:order val="0"/>
          <c:tx>
            <c:v>Zkušebník C</c:v>
          </c:tx>
          <c:spPr>
            <a:ln w="25400">
              <a:solidFill>
                <a:srgbClr val="0000FF"/>
              </a:solidFill>
              <a:prstDash val="solid"/>
            </a:ln>
          </c:spPr>
          <c:marker>
            <c:symbol val="circle"/>
            <c:size val="5"/>
            <c:spPr>
              <a:solidFill>
                <a:srgbClr val="000000"/>
              </a:solidFill>
              <a:ln>
                <a:solidFill>
                  <a:srgbClr val="000000"/>
                </a:solidFill>
                <a:prstDash val="solid"/>
              </a:ln>
            </c:spPr>
          </c:marker>
          <c:val>
            <c:numRef>
              <c:f>[1]validace!$J$60:$J$69</c:f>
              <c:numCache>
                <c:formatCode>General</c:formatCode>
                <c:ptCount val="10"/>
                <c:pt idx="0">
                  <c:v>0.19</c:v>
                </c:pt>
                <c:pt idx="1">
                  <c:v>0.41999999999999993</c:v>
                </c:pt>
                <c:pt idx="2">
                  <c:v>0.42000000000000004</c:v>
                </c:pt>
                <c:pt idx="3">
                  <c:v>9.0000000000000011E-2</c:v>
                </c:pt>
                <c:pt idx="4">
                  <c:v>0.3899999999999999</c:v>
                </c:pt>
                <c:pt idx="5">
                  <c:v>0.38000000000000006</c:v>
                </c:pt>
                <c:pt idx="6">
                  <c:v>0.19999999999999998</c:v>
                </c:pt>
                <c:pt idx="7">
                  <c:v>0.10000000000000003</c:v>
                </c:pt>
                <c:pt idx="8">
                  <c:v>0.42000000000000015</c:v>
                </c:pt>
                <c:pt idx="9">
                  <c:v>0.67000000000000015</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86FD-4CD6-8E3C-3A8BFAF84F32}"/>
            </c:ext>
          </c:extLst>
        </c:ser>
        <c:ser>
          <c:idx val="3"/>
          <c:order val="1"/>
          <c:tx>
            <c:v>UCL</c:v>
          </c:tx>
          <c:spPr>
            <a:ln w="25400">
              <a:solidFill>
                <a:srgbClr val="FF0000"/>
              </a:solidFill>
              <a:prstDash val="solid"/>
            </a:ln>
          </c:spPr>
          <c:marker>
            <c:symbol val="none"/>
          </c:marker>
          <c:val>
            <c:numRef>
              <c:f>[1]validace!$K$60:$K$69</c:f>
              <c:numCache>
                <c:formatCode>General</c:formatCode>
                <c:ptCount val="10"/>
                <c:pt idx="0">
                  <c:v>0.87945000000000007</c:v>
                </c:pt>
                <c:pt idx="1">
                  <c:v>0.87945000000000007</c:v>
                </c:pt>
                <c:pt idx="2">
                  <c:v>0.87945000000000007</c:v>
                </c:pt>
                <c:pt idx="3">
                  <c:v>0.87945000000000007</c:v>
                </c:pt>
                <c:pt idx="4">
                  <c:v>0.87945000000000007</c:v>
                </c:pt>
                <c:pt idx="5">
                  <c:v>0.87945000000000007</c:v>
                </c:pt>
                <c:pt idx="6">
                  <c:v>0.87945000000000007</c:v>
                </c:pt>
                <c:pt idx="7">
                  <c:v>0.87945000000000007</c:v>
                </c:pt>
                <c:pt idx="8">
                  <c:v>0.87945000000000007</c:v>
                </c:pt>
                <c:pt idx="9">
                  <c:v>0.87945000000000007</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86FD-4CD6-8E3C-3A8BFAF84F32}"/>
            </c:ext>
          </c:extLst>
        </c:ser>
        <c:ser>
          <c:idx val="4"/>
          <c:order val="2"/>
          <c:tx>
            <c:v>CL</c:v>
          </c:tx>
          <c:spPr>
            <a:ln w="25400">
              <a:solidFill>
                <a:srgbClr val="FF0000"/>
              </a:solidFill>
              <a:prstDash val="sysDash"/>
            </a:ln>
          </c:spPr>
          <c:marker>
            <c:symbol val="none"/>
          </c:marker>
          <c:val>
            <c:numRef>
              <c:f>[1]validace!$L$60:$L$69</c:f>
              <c:numCache>
                <c:formatCode>General</c:formatCode>
                <c:ptCount val="10"/>
                <c:pt idx="0">
                  <c:v>0.34166666666666673</c:v>
                </c:pt>
                <c:pt idx="1">
                  <c:v>0.34166666666666673</c:v>
                </c:pt>
                <c:pt idx="2">
                  <c:v>0.34166666666666673</c:v>
                </c:pt>
                <c:pt idx="3">
                  <c:v>0.34166666666666673</c:v>
                </c:pt>
                <c:pt idx="4">
                  <c:v>0.34166666666666673</c:v>
                </c:pt>
                <c:pt idx="5">
                  <c:v>0.34166666666666673</c:v>
                </c:pt>
                <c:pt idx="6">
                  <c:v>0.34166666666666673</c:v>
                </c:pt>
                <c:pt idx="7">
                  <c:v>0.34166666666666673</c:v>
                </c:pt>
                <c:pt idx="8">
                  <c:v>0.34166666666666673</c:v>
                </c:pt>
                <c:pt idx="9">
                  <c:v>0.34166666666666673</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2-86FD-4CD6-8E3C-3A8BFAF84F32}"/>
            </c:ext>
          </c:extLst>
        </c:ser>
        <c:dLbls>
          <c:showLegendKey val="0"/>
          <c:showVal val="0"/>
          <c:showCatName val="0"/>
          <c:showSerName val="0"/>
          <c:showPercent val="0"/>
          <c:showBubbleSize val="0"/>
        </c:dLbls>
        <c:marker val="1"/>
        <c:smooth val="0"/>
        <c:axId val="85973632"/>
        <c:axId val="117969664"/>
      </c:lineChart>
      <c:catAx>
        <c:axId val="85973632"/>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34405147954636511"/>
              <c:y val="0.78544342876680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117969664"/>
        <c:crosses val="autoZero"/>
        <c:auto val="1"/>
        <c:lblAlgn val="ctr"/>
        <c:lblOffset val="100"/>
        <c:tickLblSkip val="1"/>
        <c:tickMarkSkip val="1"/>
        <c:noMultiLvlLbl val="0"/>
      </c:catAx>
      <c:valAx>
        <c:axId val="1179696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597363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Диаграмма с бородой для </a:t>
            </a:r>
            <a:r>
              <a:rPr lang="en-US"/>
              <a:t>R - </a:t>
            </a:r>
            <a:r>
              <a:rPr lang="ru-RU"/>
              <a:t>испытатель "</a:t>
            </a:r>
            <a:r>
              <a:rPr lang="en-US"/>
              <a:t>A"</a:t>
            </a:r>
          </a:p>
        </c:rich>
      </c:tx>
      <c:layout>
        <c:manualLayout>
          <c:xMode val="edge"/>
          <c:yMode val="edge"/>
          <c:x val="0.1097564206343366"/>
          <c:y val="3.5971223021582732E-2"/>
        </c:manualLayout>
      </c:layout>
      <c:overlay val="0"/>
      <c:spPr>
        <a:noFill/>
        <a:ln w="25400">
          <a:noFill/>
        </a:ln>
      </c:spPr>
    </c:title>
    <c:autoTitleDeleted val="0"/>
    <c:plotArea>
      <c:layout>
        <c:manualLayout>
          <c:layoutTarget val="inner"/>
          <c:xMode val="edge"/>
          <c:yMode val="edge"/>
          <c:x val="0.28658579248313715"/>
          <c:y val="0.32374100719424553"/>
          <c:w val="0.6951229860229271"/>
          <c:h val="0.39928057553956986"/>
        </c:manualLayout>
      </c:layout>
      <c:barChart>
        <c:barDir val="col"/>
        <c:grouping val="stacked"/>
        <c:varyColors val="0"/>
        <c:ser>
          <c:idx val="0"/>
          <c:order val="0"/>
          <c:tx>
            <c:v>Miimum</c:v>
          </c:tx>
          <c:spPr>
            <a:noFill/>
            <a:ln w="25400">
              <a:noFill/>
            </a:ln>
          </c:spPr>
          <c:invertIfNegative val="0"/>
          <c:val>
            <c:numRef>
              <c:f>[1]validace!$U$129:$U$138</c:f>
              <c:numCache>
                <c:formatCode>General</c:formatCode>
                <c:ptCount val="10"/>
                <c:pt idx="0">
                  <c:v>0.28999999999999998</c:v>
                </c:pt>
                <c:pt idx="1">
                  <c:v>-0.68</c:v>
                </c:pt>
                <c:pt idx="2">
                  <c:v>1.17</c:v>
                </c:pt>
                <c:pt idx="3">
                  <c:v>0.47</c:v>
                </c:pt>
                <c:pt idx="4">
                  <c:v>-0.92</c:v>
                </c:pt>
                <c:pt idx="5">
                  <c:v>-0.21</c:v>
                </c:pt>
                <c:pt idx="6">
                  <c:v>0.59</c:v>
                </c:pt>
                <c:pt idx="7">
                  <c:v>-0.31</c:v>
                </c:pt>
                <c:pt idx="8">
                  <c:v>1.99</c:v>
                </c:pt>
                <c:pt idx="9">
                  <c:v>-1.36</c:v>
                </c:pt>
              </c:numCache>
            </c:numRef>
          </c:val>
          <c:extLst>
            <c:ext xmlns:c15="http://schemas.microsoft.com/office/drawing/2012/chart" uri="{02D57815-91ED-43cb-92C2-25804820EDAC}">
              <c15:filteredCategoryTitle>
                <c15:cat>
                  <c:numRef>
                    <c:extLst>
                      <c:ext uri="{02D57815-91ED-43cb-92C2-25804820EDAC}">
                        <c15:formulaRef>
                          <c15:sqref>[1]validace!$T$129:$T$138</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C126-4770-9001-1B6F7DFA7243}"/>
            </c:ext>
          </c:extLst>
        </c:ser>
        <c:ser>
          <c:idx val="3"/>
          <c:order val="1"/>
          <c:tx>
            <c:v>Rozpětí</c:v>
          </c:tx>
          <c:spPr>
            <a:solidFill>
              <a:srgbClr val="A6CAF0"/>
            </a:solidFill>
            <a:ln w="12700">
              <a:solidFill>
                <a:srgbClr val="000000"/>
              </a:solidFill>
              <a:prstDash val="solid"/>
            </a:ln>
          </c:spPr>
          <c:invertIfNegative val="0"/>
          <c:val>
            <c:numRef>
              <c:f>[1]validace!$V$129:$V$138</c:f>
              <c:numCache>
                <c:formatCode>General</c:formatCode>
                <c:ptCount val="10"/>
                <c:pt idx="0">
                  <c:v>0.35000000000000003</c:v>
                </c:pt>
                <c:pt idx="1">
                  <c:v>0.12</c:v>
                </c:pt>
                <c:pt idx="2">
                  <c:v>0.17000000000000015</c:v>
                </c:pt>
                <c:pt idx="3">
                  <c:v>0.17000000000000004</c:v>
                </c:pt>
                <c:pt idx="4">
                  <c:v>0.12</c:v>
                </c:pt>
                <c:pt idx="5">
                  <c:v>0.22999999999999998</c:v>
                </c:pt>
                <c:pt idx="6">
                  <c:v>0.16000000000000003</c:v>
                </c:pt>
                <c:pt idx="7">
                  <c:v>0.13999999999999999</c:v>
                </c:pt>
                <c:pt idx="8">
                  <c:v>0.2699999999999998</c:v>
                </c:pt>
                <c:pt idx="9">
                  <c:v>0.1100000000000001</c:v>
                </c:pt>
              </c:numCache>
            </c:numRef>
          </c:val>
          <c:extLst>
            <c:ext xmlns:c15="http://schemas.microsoft.com/office/drawing/2012/chart" uri="{02D57815-91ED-43cb-92C2-25804820EDAC}">
              <c15:filteredCategoryTitle>
                <c15:cat>
                  <c:numRef>
                    <c:extLst>
                      <c:ext uri="{02D57815-91ED-43cb-92C2-25804820EDAC}">
                        <c15:formulaRef>
                          <c15:sqref>[1]validace!$T$129:$T$138</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C126-4770-9001-1B6F7DFA7243}"/>
            </c:ext>
          </c:extLst>
        </c:ser>
        <c:dLbls>
          <c:showLegendKey val="0"/>
          <c:showVal val="0"/>
          <c:showCatName val="0"/>
          <c:showSerName val="0"/>
          <c:showPercent val="0"/>
          <c:showBubbleSize val="0"/>
        </c:dLbls>
        <c:gapWidth val="150"/>
        <c:overlap val="100"/>
        <c:axId val="117998720"/>
        <c:axId val="118000640"/>
      </c:barChart>
      <c:catAx>
        <c:axId val="117998720"/>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45426889395834869"/>
              <c:y val="0.758992805755395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118000640"/>
        <c:crosses val="autoZero"/>
        <c:auto val="1"/>
        <c:lblAlgn val="ctr"/>
        <c:lblOffset val="100"/>
        <c:tickLblSkip val="1"/>
        <c:tickMarkSkip val="1"/>
        <c:noMultiLvlLbl val="0"/>
      </c:catAx>
      <c:valAx>
        <c:axId val="118000640"/>
        <c:scaling>
          <c:orientation val="minMax"/>
        </c:scaling>
        <c:delete val="0"/>
        <c:axPos val="l"/>
        <c:title>
          <c:tx>
            <c:rich>
              <a:bodyPr/>
              <a:lstStyle/>
              <a:p>
                <a:pPr>
                  <a:defRPr sz="800" b="1" i="0" u="none" strike="noStrike" baseline="0">
                    <a:solidFill>
                      <a:srgbClr val="000000"/>
                    </a:solidFill>
                    <a:latin typeface="Arial CE"/>
                    <a:ea typeface="Arial CE"/>
                    <a:cs typeface="Arial CE"/>
                  </a:defRPr>
                </a:pPr>
                <a:r>
                  <a:rPr lang="ru-RU"/>
                  <a:t>величин</a:t>
                </a:r>
                <a:r>
                  <a:rPr lang="en-US"/>
                  <a:t>a</a:t>
                </a:r>
              </a:p>
            </c:rich>
          </c:tx>
          <c:layout>
            <c:manualLayout>
              <c:xMode val="edge"/>
              <c:yMode val="edge"/>
              <c:x val="0.16158584148944"/>
              <c:y val="0.4100719424460431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1179987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Диаграмма с бородой для </a:t>
            </a:r>
            <a:r>
              <a:rPr lang="en-US"/>
              <a:t>R - </a:t>
            </a:r>
            <a:r>
              <a:rPr lang="ru-RU"/>
              <a:t>испытатель "</a:t>
            </a:r>
            <a:r>
              <a:rPr lang="en-US"/>
              <a:t>B"</a:t>
            </a:r>
          </a:p>
        </c:rich>
      </c:tx>
      <c:layout>
        <c:manualLayout>
          <c:xMode val="edge"/>
          <c:yMode val="edge"/>
          <c:x val="0.22333424891655984"/>
          <c:y val="3.5971223021582732E-2"/>
        </c:manualLayout>
      </c:layout>
      <c:overlay val="0"/>
      <c:spPr>
        <a:noFill/>
        <a:ln w="25400">
          <a:noFill/>
        </a:ln>
      </c:spPr>
    </c:title>
    <c:autoTitleDeleted val="0"/>
    <c:plotArea>
      <c:layout>
        <c:manualLayout>
          <c:layoutTarget val="inner"/>
          <c:xMode val="edge"/>
          <c:yMode val="edge"/>
          <c:x val="8.3333604601577432E-2"/>
          <c:y val="0.3093525179856132"/>
          <c:w val="0.90333627388109949"/>
          <c:h val="0.43165467625899356"/>
        </c:manualLayout>
      </c:layout>
      <c:barChart>
        <c:barDir val="col"/>
        <c:grouping val="stacked"/>
        <c:varyColors val="0"/>
        <c:ser>
          <c:idx val="0"/>
          <c:order val="0"/>
          <c:tx>
            <c:v>Miimum</c:v>
          </c:tx>
          <c:spPr>
            <a:noFill/>
            <a:ln w="25400">
              <a:noFill/>
            </a:ln>
          </c:spPr>
          <c:invertIfNegative val="0"/>
          <c:val>
            <c:numRef>
              <c:f>[1]validace!$U$139:$U$148</c:f>
              <c:numCache>
                <c:formatCode>General</c:formatCode>
                <c:ptCount val="10"/>
                <c:pt idx="0">
                  <c:v>7.0000000000000007E-2</c:v>
                </c:pt>
                <c:pt idx="1">
                  <c:v>-1.22</c:v>
                </c:pt>
                <c:pt idx="2">
                  <c:v>0.94</c:v>
                </c:pt>
                <c:pt idx="3">
                  <c:v>0.01</c:v>
                </c:pt>
                <c:pt idx="4">
                  <c:v>-1.28</c:v>
                </c:pt>
                <c:pt idx="5">
                  <c:v>-0.2</c:v>
                </c:pt>
                <c:pt idx="6">
                  <c:v>0.47</c:v>
                </c:pt>
                <c:pt idx="7">
                  <c:v>-0.63</c:v>
                </c:pt>
                <c:pt idx="8">
                  <c:v>1.8</c:v>
                </c:pt>
                <c:pt idx="9">
                  <c:v>-1.68</c:v>
                </c:pt>
              </c:numCache>
            </c:numRef>
          </c:val>
          <c:extLst>
            <c:ext xmlns:c15="http://schemas.microsoft.com/office/drawing/2012/chart" uri="{02D57815-91ED-43cb-92C2-25804820EDAC}">
              <c15:filteredCategoryTitle>
                <c15:cat>
                  <c:numRef>
                    <c:extLst>
                      <c:ext uri="{02D57815-91ED-43cb-92C2-25804820EDAC}">
                        <c15:formulaRef>
                          <c15:sqref>[1]validace!$T$139:$T$148</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F620-4870-A0F9-0AC9D04496F1}"/>
            </c:ext>
          </c:extLst>
        </c:ser>
        <c:ser>
          <c:idx val="3"/>
          <c:order val="1"/>
          <c:tx>
            <c:v>Rozpětí</c:v>
          </c:tx>
          <c:spPr>
            <a:solidFill>
              <a:srgbClr val="A6CAF0"/>
            </a:solidFill>
            <a:ln w="12700">
              <a:solidFill>
                <a:srgbClr val="000000"/>
              </a:solidFill>
              <a:prstDash val="solid"/>
            </a:ln>
          </c:spPr>
          <c:invertIfNegative val="0"/>
          <c:val>
            <c:numRef>
              <c:f>[1]validace!$V$139:$V$148</c:f>
              <c:numCache>
                <c:formatCode>General</c:formatCode>
                <c:ptCount val="10"/>
                <c:pt idx="0">
                  <c:v>0.18</c:v>
                </c:pt>
                <c:pt idx="1">
                  <c:v>0.75</c:v>
                </c:pt>
                <c:pt idx="2">
                  <c:v>0.40000000000000013</c:v>
                </c:pt>
                <c:pt idx="3">
                  <c:v>1.02</c:v>
                </c:pt>
                <c:pt idx="4">
                  <c:v>0.72</c:v>
                </c:pt>
                <c:pt idx="5">
                  <c:v>0.42000000000000004</c:v>
                </c:pt>
                <c:pt idx="6">
                  <c:v>0.36</c:v>
                </c:pt>
                <c:pt idx="7">
                  <c:v>0.71</c:v>
                </c:pt>
                <c:pt idx="8">
                  <c:v>0.3899999999999999</c:v>
                </c:pt>
                <c:pt idx="9">
                  <c:v>0.17999999999999994</c:v>
                </c:pt>
              </c:numCache>
            </c:numRef>
          </c:val>
          <c:extLst>
            <c:ext xmlns:c15="http://schemas.microsoft.com/office/drawing/2012/chart" uri="{02D57815-91ED-43cb-92C2-25804820EDAC}">
              <c15:filteredCategoryTitle>
                <c15:cat>
                  <c:numRef>
                    <c:extLst>
                      <c:ext uri="{02D57815-91ED-43cb-92C2-25804820EDAC}">
                        <c15:formulaRef>
                          <c15:sqref>[1]validace!$T$139:$T$148</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F620-4870-A0F9-0AC9D04496F1}"/>
            </c:ext>
          </c:extLst>
        </c:ser>
        <c:dLbls>
          <c:showLegendKey val="0"/>
          <c:showVal val="0"/>
          <c:showCatName val="0"/>
          <c:showSerName val="0"/>
          <c:showPercent val="0"/>
          <c:showBubbleSize val="0"/>
        </c:dLbls>
        <c:gapWidth val="150"/>
        <c:overlap val="100"/>
        <c:axId val="118054912"/>
        <c:axId val="118056832"/>
      </c:barChart>
      <c:catAx>
        <c:axId val="118054912"/>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33666788744430204"/>
              <c:y val="0.776978417266187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118056832"/>
        <c:crosses val="autoZero"/>
        <c:auto val="1"/>
        <c:lblAlgn val="ctr"/>
        <c:lblOffset val="100"/>
        <c:tickLblSkip val="1"/>
        <c:tickMarkSkip val="1"/>
        <c:noMultiLvlLbl val="0"/>
      </c:catAx>
      <c:valAx>
        <c:axId val="1180568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11805491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Диаграмма с бородой для </a:t>
            </a:r>
            <a:r>
              <a:rPr lang="en-US"/>
              <a:t>R - </a:t>
            </a:r>
            <a:r>
              <a:rPr lang="ru-RU"/>
              <a:t>испытатель "</a:t>
            </a:r>
            <a:r>
              <a:rPr lang="en-US"/>
              <a:t>C"</a:t>
            </a:r>
          </a:p>
        </c:rich>
      </c:tx>
      <c:layout>
        <c:manualLayout>
          <c:xMode val="edge"/>
          <c:yMode val="edge"/>
          <c:x val="0.11764743014718097"/>
          <c:y val="3.5971223021582732E-2"/>
        </c:manualLayout>
      </c:layout>
      <c:overlay val="0"/>
      <c:spPr>
        <a:noFill/>
        <a:ln w="25400">
          <a:noFill/>
        </a:ln>
      </c:spPr>
    </c:title>
    <c:autoTitleDeleted val="0"/>
    <c:plotArea>
      <c:layout>
        <c:manualLayout>
          <c:layoutTarget val="inner"/>
          <c:xMode val="edge"/>
          <c:yMode val="edge"/>
          <c:x val="8.1699607139779737E-2"/>
          <c:y val="0.3129496402877705"/>
          <c:w val="0.9052316471087597"/>
          <c:h val="0.42086330935251898"/>
        </c:manualLayout>
      </c:layout>
      <c:barChart>
        <c:barDir val="col"/>
        <c:grouping val="stacked"/>
        <c:varyColors val="0"/>
        <c:ser>
          <c:idx val="0"/>
          <c:order val="0"/>
          <c:tx>
            <c:v>Miimum</c:v>
          </c:tx>
          <c:spPr>
            <a:noFill/>
            <a:ln w="25400">
              <a:noFill/>
            </a:ln>
          </c:spPr>
          <c:invertIfNegative val="0"/>
          <c:val>
            <c:numRef>
              <c:f>[1]validace!$U$149:$U$158</c:f>
              <c:numCache>
                <c:formatCode>General</c:formatCode>
                <c:ptCount val="10"/>
                <c:pt idx="0">
                  <c:v>-0.15</c:v>
                </c:pt>
                <c:pt idx="1">
                  <c:v>-1.38</c:v>
                </c:pt>
                <c:pt idx="2">
                  <c:v>0.67</c:v>
                </c:pt>
                <c:pt idx="3">
                  <c:v>0.11</c:v>
                </c:pt>
                <c:pt idx="4">
                  <c:v>-1.46</c:v>
                </c:pt>
                <c:pt idx="5">
                  <c:v>-0.67</c:v>
                </c:pt>
                <c:pt idx="6">
                  <c:v>0.01</c:v>
                </c:pt>
                <c:pt idx="7">
                  <c:v>-0.56000000000000005</c:v>
                </c:pt>
                <c:pt idx="8">
                  <c:v>1.45</c:v>
                </c:pt>
                <c:pt idx="9">
                  <c:v>-2.16</c:v>
                </c:pt>
              </c:numCache>
            </c:numRef>
          </c:val>
          <c:extLst>
            <c:ext xmlns:c15="http://schemas.microsoft.com/office/drawing/2012/chart" uri="{02D57815-91ED-43cb-92C2-25804820EDAC}">
              <c15:filteredCategoryTitle>
                <c15:cat>
                  <c:numRef>
                    <c:extLst>
                      <c:ext uri="{02D57815-91ED-43cb-92C2-25804820EDAC}">
                        <c15:formulaRef>
                          <c15:sqref>[1]validace!$T$149:$T$158</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2A5A-4F1C-A728-EB9546BE0E90}"/>
            </c:ext>
          </c:extLst>
        </c:ser>
        <c:ser>
          <c:idx val="3"/>
          <c:order val="1"/>
          <c:tx>
            <c:v>Rozpětí</c:v>
          </c:tx>
          <c:spPr>
            <a:solidFill>
              <a:srgbClr val="A6CAF0"/>
            </a:solidFill>
            <a:ln w="12700">
              <a:solidFill>
                <a:srgbClr val="000000"/>
              </a:solidFill>
              <a:prstDash val="solid"/>
            </a:ln>
          </c:spPr>
          <c:invertIfNegative val="0"/>
          <c:val>
            <c:numRef>
              <c:f>[1]validace!$V$149:$V$158</c:f>
              <c:numCache>
                <c:formatCode>General</c:formatCode>
                <c:ptCount val="10"/>
                <c:pt idx="0">
                  <c:v>0.19</c:v>
                </c:pt>
                <c:pt idx="1">
                  <c:v>0.41999999999999993</c:v>
                </c:pt>
                <c:pt idx="2">
                  <c:v>0.42000000000000004</c:v>
                </c:pt>
                <c:pt idx="3">
                  <c:v>9.0000000000000011E-2</c:v>
                </c:pt>
                <c:pt idx="4">
                  <c:v>0.3899999999999999</c:v>
                </c:pt>
                <c:pt idx="5">
                  <c:v>0.38000000000000006</c:v>
                </c:pt>
                <c:pt idx="6">
                  <c:v>0.19999999999999998</c:v>
                </c:pt>
                <c:pt idx="7">
                  <c:v>0.10000000000000003</c:v>
                </c:pt>
                <c:pt idx="8">
                  <c:v>0.42000000000000015</c:v>
                </c:pt>
                <c:pt idx="9">
                  <c:v>0.67000000000000015</c:v>
                </c:pt>
              </c:numCache>
            </c:numRef>
          </c:val>
          <c:extLst>
            <c:ext xmlns:c15="http://schemas.microsoft.com/office/drawing/2012/chart" uri="{02D57815-91ED-43cb-92C2-25804820EDAC}">
              <c15:filteredCategoryTitle>
                <c15:cat>
                  <c:numRef>
                    <c:extLst>
                      <c:ext uri="{02D57815-91ED-43cb-92C2-25804820EDAC}">
                        <c15:formulaRef>
                          <c15:sqref>[1]validace!$T$149:$T$158</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2A5A-4F1C-A728-EB9546BE0E90}"/>
            </c:ext>
          </c:extLst>
        </c:ser>
        <c:dLbls>
          <c:showLegendKey val="0"/>
          <c:showVal val="0"/>
          <c:showCatName val="0"/>
          <c:showSerName val="0"/>
          <c:showPercent val="0"/>
          <c:showBubbleSize val="0"/>
        </c:dLbls>
        <c:gapWidth val="150"/>
        <c:overlap val="100"/>
        <c:axId val="118085888"/>
        <c:axId val="118088064"/>
      </c:barChart>
      <c:catAx>
        <c:axId val="118085888"/>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33987042758895647"/>
              <c:y val="0.769784172661870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118088064"/>
        <c:crosses val="autoZero"/>
        <c:auto val="1"/>
        <c:lblAlgn val="ctr"/>
        <c:lblOffset val="100"/>
        <c:tickLblSkip val="1"/>
        <c:tickMarkSkip val="1"/>
        <c:noMultiLvlLbl val="0"/>
      </c:catAx>
      <c:valAx>
        <c:axId val="1180880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11808588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ru-RU" sz="1200" b="1" i="0" u="none" strike="noStrike" baseline="0">
                <a:solidFill>
                  <a:srgbClr val="000000"/>
                </a:solidFill>
                <a:latin typeface="Arial"/>
                <a:cs typeface="Arial"/>
              </a:rPr>
              <a:t>Размахи (R chart)</a:t>
            </a:r>
          </a:p>
        </c:rich>
      </c:tx>
      <c:layout>
        <c:manualLayout>
          <c:xMode val="edge"/>
          <c:yMode val="edge"/>
          <c:x val="0.46443309970869029"/>
          <c:y val="6.168711106957328E-2"/>
        </c:manualLayout>
      </c:layout>
      <c:overlay val="0"/>
      <c:spPr>
        <a:noFill/>
        <a:ln w="25400">
          <a:noFill/>
        </a:ln>
      </c:spPr>
    </c:title>
    <c:autoTitleDeleted val="0"/>
    <c:plotArea>
      <c:layout>
        <c:manualLayout>
          <c:layoutTarget val="inner"/>
          <c:xMode val="edge"/>
          <c:yMode val="edge"/>
          <c:x val="0.11532903044069777"/>
          <c:y val="6.4624566447941359E-2"/>
          <c:w val="0.87509798097907832"/>
          <c:h val="0.75199495503059044"/>
        </c:manualLayout>
      </c:layout>
      <c:lineChart>
        <c:grouping val="standard"/>
        <c:varyColors val="0"/>
        <c:ser>
          <c:idx val="3"/>
          <c:order val="0"/>
          <c:tx>
            <c:strRef>
              <c:f>'11SPC'!$AF$19</c:f>
              <c:strCache>
                <c:ptCount val="1"/>
                <c:pt idx="0">
                  <c:v>Data Values</c:v>
                </c:pt>
              </c:strCache>
            </c:strRef>
          </c:tx>
          <c:spPr>
            <a:ln w="38100">
              <a:solidFill>
                <a:srgbClr val="0000FF"/>
              </a:solidFill>
              <a:prstDash val="solid"/>
            </a:ln>
          </c:spPr>
          <c:marker>
            <c:symbol val="none"/>
          </c:marker>
          <c:val>
            <c:numRef>
              <c:f>'11SPC'!$B$94:$Z$94</c:f>
              <c:numCache>
                <c:formatCode>#\ ##0.0###</c:formatCode>
                <c:ptCount val="25"/>
                <c:pt idx="0">
                  <c:v>1.5</c:v>
                </c:pt>
                <c:pt idx="1">
                  <c:v>0.5</c:v>
                </c:pt>
                <c:pt idx="2">
                  <c:v>0</c:v>
                </c:pt>
                <c:pt idx="3">
                  <c:v>0.5</c:v>
                </c:pt>
                <c:pt idx="4">
                  <c:v>0</c:v>
                </c:pt>
                <c:pt idx="5">
                  <c:v>1</c:v>
                </c:pt>
                <c:pt idx="6">
                  <c:v>0.5</c:v>
                </c:pt>
                <c:pt idx="7">
                  <c:v>0.5</c:v>
                </c:pt>
                <c:pt idx="8">
                  <c:v>0.5</c:v>
                </c:pt>
                <c:pt idx="9">
                  <c:v>0.5</c:v>
                </c:pt>
                <c:pt idx="10">
                  <c:v>0</c:v>
                </c:pt>
                <c:pt idx="11">
                  <c:v>0</c:v>
                </c:pt>
                <c:pt idx="12">
                  <c:v>0</c:v>
                </c:pt>
                <c:pt idx="13">
                  <c:v>0</c:v>
                </c:pt>
                <c:pt idx="14">
                  <c:v>0</c:v>
                </c:pt>
                <c:pt idx="15">
                  <c:v>0</c:v>
                </c:pt>
                <c:pt idx="16">
                  <c:v>0</c:v>
                </c:pt>
                <c:pt idx="17">
                  <c:v>0</c:v>
                </c:pt>
                <c:pt idx="18">
                  <c:v>0</c:v>
                </c:pt>
                <c:pt idx="19">
                  <c:v>0</c:v>
                </c:pt>
                <c:pt idx="20" formatCode="General">
                  <c:v>0</c:v>
                </c:pt>
                <c:pt idx="21" formatCode="General">
                  <c:v>0</c:v>
                </c:pt>
                <c:pt idx="22" formatCode="General">
                  <c:v>0</c:v>
                </c:pt>
                <c:pt idx="23" formatCode="General">
                  <c:v>0</c:v>
                </c:pt>
                <c:pt idx="24" formatCode="General">
                  <c:v>0</c:v>
                </c:pt>
              </c:numCache>
            </c:numRef>
          </c:val>
          <c:smooth val="0"/>
          <c:extLst>
            <c:ext xmlns:c16="http://schemas.microsoft.com/office/drawing/2014/chart" uri="{C3380CC4-5D6E-409C-BE32-E72D297353CC}">
              <c16:uniqueId val="{00000000-9668-4C0F-9F33-59E9555AD0B7}"/>
            </c:ext>
          </c:extLst>
        </c:ser>
        <c:ser>
          <c:idx val="0"/>
          <c:order val="1"/>
          <c:tx>
            <c:strRef>
              <c:f>'11SPC'!$AI$18</c:f>
              <c:strCache>
                <c:ptCount val="1"/>
                <c:pt idx="0">
                  <c:v>UCLr</c:v>
                </c:pt>
              </c:strCache>
            </c:strRef>
          </c:tx>
          <c:spPr>
            <a:ln w="25400">
              <a:solidFill>
                <a:srgbClr val="FF0000"/>
              </a:solidFill>
              <a:prstDash val="solid"/>
            </a:ln>
          </c:spPr>
          <c:marker>
            <c:symbol val="none"/>
          </c:marker>
          <c:dLbls>
            <c:dLbl>
              <c:idx val="0"/>
              <c:layout>
                <c:manualLayout>
                  <c:x val="-7.299997569685962E-2"/>
                  <c:y val="2.9279445811207106E-2"/>
                </c:manualLayout>
              </c:layout>
              <c:numFmt formatCode="#,##0.0000" sourceLinked="0"/>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68-4C0F-9F33-59E9555AD0B7}"/>
                </c:ext>
              </c:extLst>
            </c:dLbl>
            <c:numFmt formatCode="#,##0.0000" sourceLinked="0"/>
            <c:spPr>
              <a:noFill/>
              <a:ln w="25400">
                <a:noFill/>
              </a:ln>
            </c:spPr>
            <c:txPr>
              <a:bodyPr/>
              <a:lstStyle/>
              <a:p>
                <a:pPr>
                  <a:defRPr sz="1000" b="0" i="0" u="none" strike="noStrike" baseline="0">
                    <a:solidFill>
                      <a:srgbClr val="000000"/>
                    </a:solidFill>
                    <a:latin typeface="Arial"/>
                    <a:ea typeface="Arial"/>
                    <a:cs typeface="Arial"/>
                  </a:defRPr>
                </a:pPr>
                <a:endParaRPr lang="ru-RU"/>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Ref>
              <c:f>'11SPC'!$AF$23:$BD$23</c:f>
              <c:numCache>
                <c:formatCode>General</c:formatCode>
                <c:ptCount val="25"/>
                <c:pt idx="0">
                  <c:v>1.2551000000000001</c:v>
                </c:pt>
                <c:pt idx="1">
                  <c:v>1.2551000000000001</c:v>
                </c:pt>
                <c:pt idx="2">
                  <c:v>1.2551000000000001</c:v>
                </c:pt>
                <c:pt idx="3">
                  <c:v>1.2551000000000001</c:v>
                </c:pt>
                <c:pt idx="4">
                  <c:v>1.2551000000000001</c:v>
                </c:pt>
                <c:pt idx="5">
                  <c:v>1.2551000000000001</c:v>
                </c:pt>
                <c:pt idx="6">
                  <c:v>1.2551000000000001</c:v>
                </c:pt>
                <c:pt idx="7">
                  <c:v>1.2551000000000001</c:v>
                </c:pt>
                <c:pt idx="8">
                  <c:v>1.2551000000000001</c:v>
                </c:pt>
                <c:pt idx="9">
                  <c:v>1.2551000000000001</c:v>
                </c:pt>
                <c:pt idx="10">
                  <c:v>1.2551000000000001</c:v>
                </c:pt>
                <c:pt idx="11">
                  <c:v>1.2551000000000001</c:v>
                </c:pt>
                <c:pt idx="12">
                  <c:v>1.2551000000000001</c:v>
                </c:pt>
                <c:pt idx="13">
                  <c:v>1.2551000000000001</c:v>
                </c:pt>
                <c:pt idx="14">
                  <c:v>1.2551000000000001</c:v>
                </c:pt>
                <c:pt idx="15">
                  <c:v>1.2551000000000001</c:v>
                </c:pt>
                <c:pt idx="16">
                  <c:v>1.2551000000000001</c:v>
                </c:pt>
                <c:pt idx="17">
                  <c:v>1.2551000000000001</c:v>
                </c:pt>
                <c:pt idx="18">
                  <c:v>1.2551000000000001</c:v>
                </c:pt>
                <c:pt idx="19">
                  <c:v>1.2551000000000001</c:v>
                </c:pt>
                <c:pt idx="20">
                  <c:v>1.2551000000000001</c:v>
                </c:pt>
                <c:pt idx="21">
                  <c:v>1.2551000000000001</c:v>
                </c:pt>
                <c:pt idx="22">
                  <c:v>1.2551000000000001</c:v>
                </c:pt>
                <c:pt idx="23">
                  <c:v>1.2551000000000001</c:v>
                </c:pt>
                <c:pt idx="24">
                  <c:v>1.2551000000000001</c:v>
                </c:pt>
              </c:numCache>
            </c:numRef>
          </c:val>
          <c:smooth val="0"/>
          <c:extLst>
            <c:ext xmlns:c16="http://schemas.microsoft.com/office/drawing/2014/chart" uri="{C3380CC4-5D6E-409C-BE32-E72D297353CC}">
              <c16:uniqueId val="{00000002-9668-4C0F-9F33-59E9555AD0B7}"/>
            </c:ext>
          </c:extLst>
        </c:ser>
        <c:ser>
          <c:idx val="1"/>
          <c:order val="2"/>
          <c:tx>
            <c:strRef>
              <c:f>'11SPC'!$AF$18</c:f>
              <c:strCache>
                <c:ptCount val="1"/>
                <c:pt idx="0">
                  <c:v>AveR</c:v>
                </c:pt>
              </c:strCache>
            </c:strRef>
          </c:tx>
          <c:spPr>
            <a:ln w="25400">
              <a:solidFill>
                <a:srgbClr val="00FF00"/>
              </a:solidFill>
              <a:prstDash val="solid"/>
            </a:ln>
          </c:spPr>
          <c:marker>
            <c:symbol val="none"/>
          </c:marker>
          <c:dLbls>
            <c:dLbl>
              <c:idx val="0"/>
              <c:layout>
                <c:manualLayout>
                  <c:x val="-5.8194221788932202E-2"/>
                  <c:y val="-6.0155067015593153E-3"/>
                </c:manualLayout>
              </c:layout>
              <c:numFmt formatCode="#,##0.0000" sourceLinked="0"/>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68-4C0F-9F33-59E9555AD0B7}"/>
                </c:ext>
              </c:extLst>
            </c:dLbl>
            <c:spPr>
              <a:noFill/>
              <a:ln w="25400">
                <a:noFill/>
              </a:ln>
            </c:spPr>
            <c:txPr>
              <a:bodyPr/>
              <a:lstStyle/>
              <a:p>
                <a:pPr>
                  <a:defRPr sz="1000" b="0" i="0" u="none" strike="noStrike" baseline="0">
                    <a:solidFill>
                      <a:srgbClr val="000000"/>
                    </a:solidFill>
                    <a:latin typeface="Arial"/>
                    <a:ea typeface="Arial"/>
                    <a:cs typeface="Arial"/>
                  </a:defRPr>
                </a:pPr>
                <a:endParaRPr lang="ru-RU"/>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Ref>
              <c:f>'11SPC'!$AF$24:$BD$24</c:f>
              <c:numCache>
                <c:formatCode>General</c:formatCode>
                <c:ptCount val="25"/>
                <c:pt idx="0">
                  <c:v>0.55000000000000004</c:v>
                </c:pt>
                <c:pt idx="1">
                  <c:v>0.55000000000000004</c:v>
                </c:pt>
                <c:pt idx="2">
                  <c:v>0.55000000000000004</c:v>
                </c:pt>
                <c:pt idx="3">
                  <c:v>0.55000000000000004</c:v>
                </c:pt>
                <c:pt idx="4">
                  <c:v>0.55000000000000004</c:v>
                </c:pt>
                <c:pt idx="5">
                  <c:v>0.55000000000000004</c:v>
                </c:pt>
                <c:pt idx="6">
                  <c:v>0.55000000000000004</c:v>
                </c:pt>
                <c:pt idx="7">
                  <c:v>0.55000000000000004</c:v>
                </c:pt>
                <c:pt idx="8">
                  <c:v>0.55000000000000004</c:v>
                </c:pt>
                <c:pt idx="9">
                  <c:v>0.55000000000000004</c:v>
                </c:pt>
                <c:pt idx="10">
                  <c:v>0.55000000000000004</c:v>
                </c:pt>
                <c:pt idx="11">
                  <c:v>0.55000000000000004</c:v>
                </c:pt>
                <c:pt idx="12">
                  <c:v>0.55000000000000004</c:v>
                </c:pt>
                <c:pt idx="13">
                  <c:v>0.55000000000000004</c:v>
                </c:pt>
                <c:pt idx="14">
                  <c:v>0.55000000000000004</c:v>
                </c:pt>
                <c:pt idx="15">
                  <c:v>0.55000000000000004</c:v>
                </c:pt>
                <c:pt idx="16">
                  <c:v>0.55000000000000004</c:v>
                </c:pt>
                <c:pt idx="17">
                  <c:v>0.55000000000000004</c:v>
                </c:pt>
                <c:pt idx="18">
                  <c:v>0.55000000000000004</c:v>
                </c:pt>
                <c:pt idx="19">
                  <c:v>0.55000000000000004</c:v>
                </c:pt>
                <c:pt idx="20">
                  <c:v>0.55000000000000004</c:v>
                </c:pt>
                <c:pt idx="21">
                  <c:v>0.55000000000000004</c:v>
                </c:pt>
                <c:pt idx="22">
                  <c:v>0.55000000000000004</c:v>
                </c:pt>
                <c:pt idx="23">
                  <c:v>0.55000000000000004</c:v>
                </c:pt>
                <c:pt idx="24">
                  <c:v>0.55000000000000004</c:v>
                </c:pt>
              </c:numCache>
            </c:numRef>
          </c:val>
          <c:smooth val="0"/>
          <c:extLst>
            <c:ext xmlns:c16="http://schemas.microsoft.com/office/drawing/2014/chart" uri="{C3380CC4-5D6E-409C-BE32-E72D297353CC}">
              <c16:uniqueId val="{00000004-9668-4C0F-9F33-59E9555AD0B7}"/>
            </c:ext>
          </c:extLst>
        </c:ser>
        <c:ser>
          <c:idx val="2"/>
          <c:order val="3"/>
          <c:tx>
            <c:strRef>
              <c:f>'11SPC'!$AI$19</c:f>
              <c:strCache>
                <c:ptCount val="1"/>
                <c:pt idx="0">
                  <c:v>LCLr</c:v>
                </c:pt>
              </c:strCache>
            </c:strRef>
          </c:tx>
          <c:spPr>
            <a:ln w="38100">
              <a:solidFill>
                <a:srgbClr val="FF0000"/>
              </a:solidFill>
              <a:prstDash val="solid"/>
            </a:ln>
          </c:spPr>
          <c:marker>
            <c:symbol val="none"/>
          </c:marker>
          <c:val>
            <c:numRef>
              <c:f>'11SPC'!$AF$25:$BD$25</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5-9668-4C0F-9F33-59E9555AD0B7}"/>
            </c:ext>
          </c:extLst>
        </c:ser>
        <c:dLbls>
          <c:showLegendKey val="0"/>
          <c:showVal val="0"/>
          <c:showCatName val="0"/>
          <c:showSerName val="0"/>
          <c:showPercent val="0"/>
          <c:showBubbleSize val="0"/>
        </c:dLbls>
        <c:smooth val="0"/>
        <c:axId val="81623296"/>
        <c:axId val="81633664"/>
      </c:lineChart>
      <c:catAx>
        <c:axId val="81623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ru-RU"/>
                  <a:t>Выборка</a:t>
                </a:r>
              </a:p>
            </c:rich>
          </c:tx>
          <c:layout>
            <c:manualLayout>
              <c:xMode val="edge"/>
              <c:yMode val="edge"/>
              <c:x val="0.52833162338224204"/>
              <c:y val="0.8959315248798647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81633664"/>
        <c:crosses val="autoZero"/>
        <c:auto val="0"/>
        <c:lblAlgn val="ctr"/>
        <c:lblOffset val="100"/>
        <c:tickLblSkip val="1"/>
        <c:tickMarkSkip val="1"/>
        <c:noMultiLvlLbl val="0"/>
      </c:catAx>
      <c:valAx>
        <c:axId val="81633664"/>
        <c:scaling>
          <c:orientation val="minMax"/>
        </c:scaling>
        <c:delete val="0"/>
        <c:axPos val="l"/>
        <c:majorGridlines>
          <c:spPr>
            <a:ln w="3175">
              <a:solidFill>
                <a:srgbClr val="000000"/>
              </a:solidFill>
              <a:prstDash val="sysDash"/>
            </a:ln>
          </c:spPr>
        </c:majorGridlines>
        <c:title>
          <c:tx>
            <c:rich>
              <a:bodyPr/>
              <a:lstStyle/>
              <a:p>
                <a:pPr>
                  <a:defRPr sz="1200" b="1" i="0" u="none" strike="noStrike" baseline="0">
                    <a:solidFill>
                      <a:srgbClr val="000000"/>
                    </a:solidFill>
                    <a:latin typeface="Arial"/>
                    <a:ea typeface="Arial"/>
                    <a:cs typeface="Arial"/>
                  </a:defRPr>
                </a:pPr>
                <a:r>
                  <a:rPr lang="ru-RU"/>
                  <a:t>Размахи</a:t>
                </a:r>
              </a:p>
            </c:rich>
          </c:tx>
          <c:layout>
            <c:manualLayout>
              <c:xMode val="edge"/>
              <c:yMode val="edge"/>
              <c:x val="3.896216269669588E-3"/>
              <c:y val="0.31137300715748806"/>
            </c:manualLayout>
          </c:layout>
          <c:overlay val="0"/>
          <c:spPr>
            <a:noFill/>
            <a:ln w="25400">
              <a:noFill/>
            </a:ln>
          </c:spPr>
        </c:title>
        <c:numFmt formatCode="#\ ##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81623296"/>
        <c:crosses val="autoZero"/>
        <c:crossBetween val="midCat"/>
      </c:valAx>
      <c:spPr>
        <a:solidFill>
          <a:srgbClr val="FFFFFF"/>
        </a:solidFill>
        <a:ln w="12700">
          <a:solidFill>
            <a:srgbClr val="808080"/>
          </a:solidFill>
          <a:prstDash val="solid"/>
        </a:ln>
      </c:spPr>
    </c:plotArea>
    <c:legend>
      <c:legendPos val="r"/>
      <c:layout>
        <c:manualLayout>
          <c:xMode val="edge"/>
          <c:yMode val="edge"/>
          <c:x val="2.6629583389988342E-2"/>
          <c:y val="0.92090500556866584"/>
          <c:w val="0.21538609871568251"/>
          <c:h val="6.3615193501405765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ru-RU"/>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oddHeader>&amp;A</c:oddHeader>
      <c:oddFooter>Page &amp;P</c:oddFooter>
    </c:headerFooter>
    <c:pageMargins b="1" l="0.75" r="0.75" t="1" header="0.5" footer="0.5"/>
    <c:pageSetup orientation="landscape" horizontalDpi="20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9681403802183"/>
          <c:y val="6.8276835941437838E-2"/>
          <c:w val="0.86905119030709943"/>
          <c:h val="0.77380414066962888"/>
        </c:manualLayout>
      </c:layout>
      <c:barChart>
        <c:barDir val="col"/>
        <c:grouping val="clustered"/>
        <c:varyColors val="0"/>
        <c:ser>
          <c:idx val="0"/>
          <c:order val="0"/>
          <c:tx>
            <c:v>Data Points</c:v>
          </c:tx>
          <c:spPr>
            <a:solidFill>
              <a:srgbClr val="8080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name>Distribution Shape</c:name>
            <c:spPr>
              <a:ln w="25400">
                <a:solidFill>
                  <a:srgbClr val="000000"/>
                </a:solidFill>
                <a:prstDash val="solid"/>
              </a:ln>
            </c:spPr>
            <c:trendlineType val="poly"/>
            <c:order val="4"/>
            <c:dispRSqr val="0"/>
            <c:dispEq val="0"/>
          </c:trendline>
          <c:cat>
            <c:numRef>
              <c:f>'11SPC'!$AH$4:$AH$14</c:f>
              <c:numCache>
                <c:formatCode>General</c:formatCode>
                <c:ptCount val="11"/>
                <c:pt idx="0">
                  <c:v>848.92499999999995</c:v>
                </c:pt>
                <c:pt idx="1">
                  <c:v>849.07500000000005</c:v>
                </c:pt>
                <c:pt idx="2">
                  <c:v>849.22499999999991</c:v>
                </c:pt>
                <c:pt idx="3">
                  <c:v>849.375</c:v>
                </c:pt>
                <c:pt idx="4">
                  <c:v>849.52499999999986</c:v>
                </c:pt>
                <c:pt idx="5">
                  <c:v>849.67499999999995</c:v>
                </c:pt>
                <c:pt idx="6">
                  <c:v>849.82499999999982</c:v>
                </c:pt>
                <c:pt idx="7">
                  <c:v>849.97499999999991</c:v>
                </c:pt>
                <c:pt idx="8">
                  <c:v>850.12499999999977</c:v>
                </c:pt>
                <c:pt idx="9">
                  <c:v>850.27499999999986</c:v>
                </c:pt>
                <c:pt idx="10">
                  <c:v>850.42499999999973</c:v>
                </c:pt>
              </c:numCache>
            </c:numRef>
          </c:cat>
          <c:val>
            <c:numRef>
              <c:f>'11SPC'!$AM$4:$AM$14</c:f>
              <c:numCache>
                <c:formatCode>General</c:formatCode>
                <c:ptCount val="11"/>
                <c:pt idx="0">
                  <c:v>4</c:v>
                </c:pt>
                <c:pt idx="1">
                  <c:v>0</c:v>
                </c:pt>
                <c:pt idx="2">
                  <c:v>0</c:v>
                </c:pt>
                <c:pt idx="3">
                  <c:v>0</c:v>
                </c:pt>
                <c:pt idx="4">
                  <c:v>12</c:v>
                </c:pt>
                <c:pt idx="5">
                  <c:v>0</c:v>
                </c:pt>
                <c:pt idx="6">
                  <c:v>0</c:v>
                </c:pt>
                <c:pt idx="7">
                  <c:v>18</c:v>
                </c:pt>
                <c:pt idx="8">
                  <c:v>0</c:v>
                </c:pt>
                <c:pt idx="9">
                  <c:v>0</c:v>
                </c:pt>
                <c:pt idx="10">
                  <c:v>6</c:v>
                </c:pt>
              </c:numCache>
            </c:numRef>
          </c:val>
          <c:extLst>
            <c:ext xmlns:c16="http://schemas.microsoft.com/office/drawing/2014/chart" uri="{C3380CC4-5D6E-409C-BE32-E72D297353CC}">
              <c16:uniqueId val="{00000000-C862-4C6D-BA07-0A16187262FF}"/>
            </c:ext>
          </c:extLst>
        </c:ser>
        <c:dLbls>
          <c:showLegendKey val="0"/>
          <c:showVal val="0"/>
          <c:showCatName val="0"/>
          <c:showSerName val="0"/>
          <c:showPercent val="0"/>
          <c:showBubbleSize val="0"/>
        </c:dLbls>
        <c:gapWidth val="150"/>
        <c:axId val="73811456"/>
        <c:axId val="73812992"/>
      </c:barChart>
      <c:catAx>
        <c:axId val="73811456"/>
        <c:scaling>
          <c:orientation val="minMax"/>
        </c:scaling>
        <c:delete val="0"/>
        <c:axPos val="b"/>
        <c:numFmt formatCode="0.000" sourceLinked="0"/>
        <c:majorTickMark val="cross"/>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ru-RU"/>
          </a:p>
        </c:txPr>
        <c:crossAx val="73812992"/>
        <c:crosses val="autoZero"/>
        <c:auto val="0"/>
        <c:lblAlgn val="ctr"/>
        <c:lblOffset val="100"/>
        <c:tickLblSkip val="1"/>
        <c:tickMarkSkip val="1"/>
        <c:noMultiLvlLbl val="0"/>
      </c:catAx>
      <c:valAx>
        <c:axId val="73812992"/>
        <c:scaling>
          <c:orientation val="minMax"/>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738114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oddHeader>&amp;A</c:oddHeader>
      <c:oddFooter>Page &amp;P</c:oddFooter>
    </c:headerFooter>
    <c:pageMargins b="1" l="0.75" r="0.75" t="1" header="0.5" footer="0.5"/>
    <c:pageSetup orientation="landscape" horizontalDpi="20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146755275957E-2"/>
          <c:y val="8.4533225451303984E-2"/>
          <c:w val="0.87009853316847596"/>
          <c:h val="0.75104519535581626"/>
        </c:manualLayout>
      </c:layout>
      <c:barChart>
        <c:barDir val="col"/>
        <c:grouping val="clustered"/>
        <c:varyColors val="0"/>
        <c:ser>
          <c:idx val="0"/>
          <c:order val="0"/>
          <c:tx>
            <c:v>IN SPEC VALUES</c:v>
          </c:tx>
          <c:spPr>
            <a:solidFill>
              <a:srgbClr val="8080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'11SPC'!$AQ$5:$AQ$13</c:f>
              <c:numCache>
                <c:formatCode>General</c:formatCode>
                <c:ptCount val="9"/>
                <c:pt idx="0">
                  <c:v>846.8</c:v>
                </c:pt>
                <c:pt idx="1">
                  <c:v>847.59999999999991</c:v>
                </c:pt>
                <c:pt idx="2">
                  <c:v>848.39999999999986</c:v>
                </c:pt>
                <c:pt idx="3">
                  <c:v>849.19999999999982</c:v>
                </c:pt>
                <c:pt idx="4">
                  <c:v>849.99999999999977</c:v>
                </c:pt>
                <c:pt idx="5">
                  <c:v>850.79999999999973</c:v>
                </c:pt>
                <c:pt idx="6">
                  <c:v>851.59999999999968</c:v>
                </c:pt>
                <c:pt idx="7">
                  <c:v>852.39999999999964</c:v>
                </c:pt>
                <c:pt idx="8">
                  <c:v>853.19999999999959</c:v>
                </c:pt>
              </c:numCache>
            </c:numRef>
          </c:cat>
          <c:val>
            <c:numRef>
              <c:f>'11SPC'!$AV$5:$AV$13</c:f>
              <c:numCache>
                <c:formatCode>General</c:formatCode>
                <c:ptCount val="9"/>
                <c:pt idx="0">
                  <c:v>0</c:v>
                </c:pt>
                <c:pt idx="1">
                  <c:v>0</c:v>
                </c:pt>
                <c:pt idx="2">
                  <c:v>0</c:v>
                </c:pt>
                <c:pt idx="3">
                  <c:v>16</c:v>
                </c:pt>
                <c:pt idx="4">
                  <c:v>18</c:v>
                </c:pt>
                <c:pt idx="5">
                  <c:v>6</c:v>
                </c:pt>
                <c:pt idx="6">
                  <c:v>0</c:v>
                </c:pt>
                <c:pt idx="7">
                  <c:v>0</c:v>
                </c:pt>
                <c:pt idx="8">
                  <c:v>0</c:v>
                </c:pt>
              </c:numCache>
            </c:numRef>
          </c:val>
          <c:extLst>
            <c:ext xmlns:c16="http://schemas.microsoft.com/office/drawing/2014/chart" uri="{C3380CC4-5D6E-409C-BE32-E72D297353CC}">
              <c16:uniqueId val="{00000000-90CB-4E3D-B5BF-120BA59C42FC}"/>
            </c:ext>
          </c:extLst>
        </c:ser>
        <c:dLbls>
          <c:showLegendKey val="0"/>
          <c:showVal val="0"/>
          <c:showCatName val="0"/>
          <c:showSerName val="0"/>
          <c:showPercent val="0"/>
          <c:showBubbleSize val="0"/>
        </c:dLbls>
        <c:gapWidth val="150"/>
        <c:axId val="73833088"/>
        <c:axId val="73843072"/>
      </c:barChart>
      <c:catAx>
        <c:axId val="73833088"/>
        <c:scaling>
          <c:orientation val="minMax"/>
        </c:scaling>
        <c:delete val="0"/>
        <c:axPos val="b"/>
        <c:numFmt formatCode="0.000" sourceLinked="0"/>
        <c:majorTickMark val="cross"/>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ru-RU"/>
          </a:p>
        </c:txPr>
        <c:crossAx val="73843072"/>
        <c:crosses val="autoZero"/>
        <c:auto val="0"/>
        <c:lblAlgn val="ctr"/>
        <c:lblOffset val="100"/>
        <c:tickLblSkip val="1"/>
        <c:tickMarkSkip val="1"/>
        <c:noMultiLvlLbl val="0"/>
      </c:catAx>
      <c:valAx>
        <c:axId val="73843072"/>
        <c:scaling>
          <c:orientation val="minMax"/>
          <c:min val="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RU"/>
          </a:p>
        </c:txPr>
        <c:crossAx val="73833088"/>
        <c:crosses val="autoZero"/>
        <c:crossBetween val="between"/>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RU"/>
    </a:p>
  </c:txPr>
  <c:printSettings>
    <c:headerFooter alignWithMargins="0">
      <c:oddHeader>&amp;A</c:oddHeader>
      <c:oddFooter>Page &amp;P</c:oddFooter>
    </c:headerFooter>
    <c:pageMargins b="1" l="0.75" r="0.75" t="1" header="0.5" footer="0.5"/>
    <c:pageSetup orientation="landscape" horizontalDpi="20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Регулирующая диаграмма для средних величин</a:t>
            </a:r>
          </a:p>
        </c:rich>
      </c:tx>
      <c:overlay val="0"/>
      <c:spPr>
        <a:noFill/>
        <a:ln w="25400">
          <a:noFill/>
        </a:ln>
      </c:spPr>
    </c:title>
    <c:autoTitleDeleted val="0"/>
    <c:plotArea>
      <c:layout/>
      <c:lineChart>
        <c:grouping val="standard"/>
        <c:varyColors val="0"/>
        <c:ser>
          <c:idx val="0"/>
          <c:order val="0"/>
          <c:tx>
            <c:v>Zkušebník A</c:v>
          </c:tx>
          <c:spPr>
            <a:ln w="25400">
              <a:solidFill>
                <a:srgbClr val="0000FF"/>
              </a:solidFill>
              <a:prstDash val="solid"/>
            </a:ln>
          </c:spPr>
          <c:marker>
            <c:symbol val="plus"/>
            <c:size val="5"/>
            <c:spPr>
              <a:solidFill>
                <a:srgbClr val="000000"/>
              </a:solidFill>
              <a:ln>
                <a:solidFill>
                  <a:srgbClr val="000000"/>
                </a:solidFill>
                <a:prstDash val="solid"/>
              </a:ln>
            </c:spPr>
          </c:marker>
          <c:val>
            <c:numRef>
              <c:f>[1]validace!$B$60:$B$69</c:f>
              <c:numCache>
                <c:formatCode>General</c:formatCode>
                <c:ptCount val="10"/>
                <c:pt idx="0">
                  <c:v>0.4466666666666666</c:v>
                </c:pt>
                <c:pt idx="1">
                  <c:v>-0.6066666666666668</c:v>
                </c:pt>
                <c:pt idx="2">
                  <c:v>1.26</c:v>
                </c:pt>
                <c:pt idx="3">
                  <c:v>0.53666666666666663</c:v>
                </c:pt>
                <c:pt idx="4">
                  <c:v>-0.85333333333333339</c:v>
                </c:pt>
                <c:pt idx="5">
                  <c:v>-9.9999999999999992E-2</c:v>
                </c:pt>
                <c:pt idx="6">
                  <c:v>0.66666666666666663</c:v>
                </c:pt>
                <c:pt idx="7">
                  <c:v>-0.22666666666666668</c:v>
                </c:pt>
                <c:pt idx="8">
                  <c:v>2.0866666666666664</c:v>
                </c:pt>
                <c:pt idx="9">
                  <c:v>-1.3066666666666669</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5E1F-45DF-9DEA-4BAC2F179742}"/>
            </c:ext>
          </c:extLst>
        </c:ser>
        <c:ser>
          <c:idx val="1"/>
          <c:order val="1"/>
          <c:tx>
            <c:v>Zkušebník B</c:v>
          </c:tx>
          <c:spPr>
            <a:ln w="25400">
              <a:solidFill>
                <a:srgbClr val="FF00FF"/>
              </a:solidFill>
              <a:prstDash val="solid"/>
            </a:ln>
          </c:spPr>
          <c:marker>
            <c:symbol val="triangle"/>
            <c:size val="7"/>
            <c:spPr>
              <a:solidFill>
                <a:srgbClr val="000000"/>
              </a:solidFill>
              <a:ln>
                <a:solidFill>
                  <a:srgbClr val="000000"/>
                </a:solidFill>
                <a:prstDash val="solid"/>
              </a:ln>
            </c:spPr>
          </c:marker>
          <c:val>
            <c:numRef>
              <c:f>[1]validace!$C$60:$C$69</c:f>
              <c:numCache>
                <c:formatCode>General</c:formatCode>
                <c:ptCount val="10"/>
                <c:pt idx="0">
                  <c:v>0.13333333333333333</c:v>
                </c:pt>
                <c:pt idx="1">
                  <c:v>-0.79</c:v>
                </c:pt>
                <c:pt idx="2">
                  <c:v>1.1566666666666665</c:v>
                </c:pt>
                <c:pt idx="3">
                  <c:v>0.41333333333333333</c:v>
                </c:pt>
                <c:pt idx="4">
                  <c:v>-1.0133333333333334</c:v>
                </c:pt>
                <c:pt idx="5">
                  <c:v>2.6666666666666661E-2</c:v>
                </c:pt>
                <c:pt idx="6">
                  <c:v>0.6166666666666667</c:v>
                </c:pt>
                <c:pt idx="7">
                  <c:v>-0.29666666666666669</c:v>
                </c:pt>
                <c:pt idx="8">
                  <c:v>2.0366666666666666</c:v>
                </c:pt>
                <c:pt idx="9">
                  <c:v>-1.5999999999999999</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5E1F-45DF-9DEA-4BAC2F179742}"/>
            </c:ext>
          </c:extLst>
        </c:ser>
        <c:ser>
          <c:idx val="2"/>
          <c:order val="2"/>
          <c:tx>
            <c:v>Zkušebník C</c:v>
          </c:tx>
          <c:spPr>
            <a:ln w="25400">
              <a:solidFill>
                <a:srgbClr val="00FF00"/>
              </a:solidFill>
              <a:prstDash val="solid"/>
            </a:ln>
          </c:spPr>
          <c:marker>
            <c:symbol val="circle"/>
            <c:size val="6"/>
            <c:spPr>
              <a:solidFill>
                <a:srgbClr val="000000"/>
              </a:solidFill>
              <a:ln>
                <a:solidFill>
                  <a:srgbClr val="000000"/>
                </a:solidFill>
                <a:prstDash val="solid"/>
              </a:ln>
            </c:spPr>
          </c:marker>
          <c:val>
            <c:numRef>
              <c:f>[1]validace!$D$60:$D$69</c:f>
              <c:numCache>
                <c:formatCode>General</c:formatCode>
                <c:ptCount val="10"/>
                <c:pt idx="0">
                  <c:v>-7.3333333333333334E-2</c:v>
                </c:pt>
                <c:pt idx="1">
                  <c:v>-1.1566666666666665</c:v>
                </c:pt>
                <c:pt idx="2">
                  <c:v>0.88</c:v>
                </c:pt>
                <c:pt idx="3">
                  <c:v>0.15</c:v>
                </c:pt>
                <c:pt idx="4">
                  <c:v>-1.3266666666666669</c:v>
                </c:pt>
                <c:pt idx="5">
                  <c:v>-0.48333333333333334</c:v>
                </c:pt>
                <c:pt idx="6">
                  <c:v>0.08</c:v>
                </c:pt>
                <c:pt idx="7">
                  <c:v>-0.5033333333333333</c:v>
                </c:pt>
                <c:pt idx="8">
                  <c:v>1.6966666666666665</c:v>
                </c:pt>
                <c:pt idx="9">
                  <c:v>-1.8066666666666666</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2-5E1F-45DF-9DEA-4BAC2F179742}"/>
            </c:ext>
          </c:extLst>
        </c:ser>
        <c:ser>
          <c:idx val="3"/>
          <c:order val="3"/>
          <c:tx>
            <c:v>UCL</c:v>
          </c:tx>
          <c:spPr>
            <a:ln w="25400">
              <a:solidFill>
                <a:srgbClr val="FF0000"/>
              </a:solidFill>
              <a:prstDash val="solid"/>
            </a:ln>
          </c:spPr>
          <c:marker>
            <c:symbol val="none"/>
          </c:marker>
          <c:val>
            <c:numRef>
              <c:f>[1]validace!$E$60:$E$69</c:f>
              <c:numCache>
                <c:formatCode>General</c:formatCode>
                <c:ptCount val="10"/>
                <c:pt idx="0">
                  <c:v>0.64377777777777778</c:v>
                </c:pt>
                <c:pt idx="1">
                  <c:v>0.64377777777777778</c:v>
                </c:pt>
                <c:pt idx="2">
                  <c:v>0.64377777777777778</c:v>
                </c:pt>
                <c:pt idx="3">
                  <c:v>0.64377777777777778</c:v>
                </c:pt>
                <c:pt idx="4">
                  <c:v>0.64377777777777778</c:v>
                </c:pt>
                <c:pt idx="5">
                  <c:v>0.64377777777777778</c:v>
                </c:pt>
                <c:pt idx="6">
                  <c:v>0.64377777777777778</c:v>
                </c:pt>
                <c:pt idx="7">
                  <c:v>0.64377777777777778</c:v>
                </c:pt>
                <c:pt idx="8">
                  <c:v>0.64377777777777778</c:v>
                </c:pt>
                <c:pt idx="9">
                  <c:v>0.64377777777777778</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3-5E1F-45DF-9DEA-4BAC2F179742}"/>
            </c:ext>
          </c:extLst>
        </c:ser>
        <c:ser>
          <c:idx val="4"/>
          <c:order val="4"/>
          <c:tx>
            <c:v>CL</c:v>
          </c:tx>
          <c:spPr>
            <a:ln w="25400">
              <a:solidFill>
                <a:srgbClr val="FF0000"/>
              </a:solidFill>
              <a:prstDash val="sysDash"/>
            </a:ln>
          </c:spPr>
          <c:marker>
            <c:symbol val="none"/>
          </c:marker>
          <c:val>
            <c:numRef>
              <c:f>[1]validace!$F$60:$F$69</c:f>
              <c:numCache>
                <c:formatCode>General</c:formatCode>
                <c:ptCount val="10"/>
                <c:pt idx="0">
                  <c:v>1.4444444444443815E-3</c:v>
                </c:pt>
                <c:pt idx="1">
                  <c:v>1.4444444444443815E-3</c:v>
                </c:pt>
                <c:pt idx="2">
                  <c:v>1.4444444444443815E-3</c:v>
                </c:pt>
                <c:pt idx="3">
                  <c:v>1.4444444444443815E-3</c:v>
                </c:pt>
                <c:pt idx="4">
                  <c:v>1.4444444444443815E-3</c:v>
                </c:pt>
                <c:pt idx="5">
                  <c:v>1.4444444444443815E-3</c:v>
                </c:pt>
                <c:pt idx="6">
                  <c:v>1.4444444444443815E-3</c:v>
                </c:pt>
                <c:pt idx="7">
                  <c:v>1.4444444444443815E-3</c:v>
                </c:pt>
                <c:pt idx="8">
                  <c:v>1.4444444444443815E-3</c:v>
                </c:pt>
                <c:pt idx="9">
                  <c:v>1.4444444444443815E-3</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4-5E1F-45DF-9DEA-4BAC2F179742}"/>
            </c:ext>
          </c:extLst>
        </c:ser>
        <c:ser>
          <c:idx val="5"/>
          <c:order val="5"/>
          <c:tx>
            <c:v>LCL</c:v>
          </c:tx>
          <c:spPr>
            <a:ln w="25400">
              <a:solidFill>
                <a:srgbClr val="FF0000"/>
              </a:solidFill>
              <a:prstDash val="solid"/>
            </a:ln>
          </c:spPr>
          <c:marker>
            <c:symbol val="none"/>
          </c:marker>
          <c:val>
            <c:numRef>
              <c:f>[1]validace!$G$60:$G$69</c:f>
              <c:numCache>
                <c:formatCode>General</c:formatCode>
                <c:ptCount val="10"/>
                <c:pt idx="0">
                  <c:v>-0.64088888888888906</c:v>
                </c:pt>
                <c:pt idx="1">
                  <c:v>-0.64088888888888906</c:v>
                </c:pt>
                <c:pt idx="2">
                  <c:v>-0.64088888888888906</c:v>
                </c:pt>
                <c:pt idx="3">
                  <c:v>-0.64088888888888906</c:v>
                </c:pt>
                <c:pt idx="4">
                  <c:v>-0.64088888888888906</c:v>
                </c:pt>
                <c:pt idx="5">
                  <c:v>-0.64088888888888906</c:v>
                </c:pt>
                <c:pt idx="6">
                  <c:v>-0.64088888888888906</c:v>
                </c:pt>
                <c:pt idx="7">
                  <c:v>-0.64088888888888906</c:v>
                </c:pt>
                <c:pt idx="8">
                  <c:v>-0.64088888888888906</c:v>
                </c:pt>
                <c:pt idx="9">
                  <c:v>-0.64088888888888906</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5-5E1F-45DF-9DEA-4BAC2F179742}"/>
            </c:ext>
          </c:extLst>
        </c:ser>
        <c:dLbls>
          <c:showLegendKey val="0"/>
          <c:showVal val="0"/>
          <c:showCatName val="0"/>
          <c:showSerName val="0"/>
          <c:showPercent val="0"/>
          <c:showBubbleSize val="0"/>
        </c:dLbls>
        <c:marker val="1"/>
        <c:smooth val="0"/>
        <c:axId val="84395136"/>
        <c:axId val="84397056"/>
      </c:lineChart>
      <c:catAx>
        <c:axId val="84395136"/>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39664212705119178"/>
              <c:y val="0.22813688212927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4397056"/>
        <c:crosses val="autoZero"/>
        <c:auto val="1"/>
        <c:lblAlgn val="ctr"/>
        <c:lblOffset val="100"/>
        <c:tickLblSkip val="1"/>
        <c:tickMarkSkip val="1"/>
        <c:noMultiLvlLbl val="0"/>
      </c:catAx>
      <c:valAx>
        <c:axId val="84397056"/>
        <c:scaling>
          <c:orientation val="minMax"/>
        </c:scaling>
        <c:delete val="0"/>
        <c:axPos val="l"/>
        <c:title>
          <c:tx>
            <c:rich>
              <a:bodyPr/>
              <a:lstStyle/>
              <a:p>
                <a:pPr>
                  <a:defRPr sz="800" b="1" i="0" u="none" strike="noStrike" baseline="0">
                    <a:solidFill>
                      <a:srgbClr val="000000"/>
                    </a:solidFill>
                    <a:latin typeface="Arial CE"/>
                    <a:ea typeface="Arial CE"/>
                    <a:cs typeface="Arial CE"/>
                  </a:defRPr>
                </a:pPr>
                <a:r>
                  <a:rPr lang="ru-RU"/>
                  <a:t>Величина </a:t>
                </a:r>
                <a:r>
                  <a:rPr lang="en-US"/>
                  <a:t>Xp</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4395136"/>
        <c:crosses val="autoZero"/>
        <c:crossBetween val="midCat"/>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480" b="0" i="0" u="none" strike="noStrike" baseline="0">
              <a:solidFill>
                <a:srgbClr val="000000"/>
              </a:solidFill>
              <a:latin typeface="Arial CE"/>
              <a:ea typeface="Arial CE"/>
              <a:cs typeface="Arial CE"/>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Диаграмма размаха - испытатель "</a:t>
            </a:r>
            <a:r>
              <a:rPr lang="en-US"/>
              <a:t>A"</a:t>
            </a:r>
          </a:p>
        </c:rich>
      </c:tx>
      <c:layout>
        <c:manualLayout>
          <c:xMode val="edge"/>
          <c:yMode val="edge"/>
          <c:x val="0.17757071339954239"/>
          <c:y val="3.90625E-2"/>
        </c:manualLayout>
      </c:layout>
      <c:overlay val="0"/>
      <c:spPr>
        <a:noFill/>
        <a:ln w="25400">
          <a:noFill/>
        </a:ln>
      </c:spPr>
    </c:title>
    <c:autoTitleDeleted val="0"/>
    <c:plotArea>
      <c:layout>
        <c:manualLayout>
          <c:layoutTarget val="inner"/>
          <c:xMode val="edge"/>
          <c:yMode val="edge"/>
          <c:x val="0.27725941047085056"/>
          <c:y val="0.30078182369580114"/>
          <c:w val="0.68536034048974259"/>
          <c:h val="0.45312586426899781"/>
        </c:manualLayout>
      </c:layout>
      <c:lineChart>
        <c:grouping val="standard"/>
        <c:varyColors val="0"/>
        <c:ser>
          <c:idx val="0"/>
          <c:order val="0"/>
          <c:tx>
            <c:v>Zkušebník A</c:v>
          </c:tx>
          <c:spPr>
            <a:ln w="25400">
              <a:solidFill>
                <a:srgbClr val="0000FF"/>
              </a:solidFill>
              <a:prstDash val="solid"/>
            </a:ln>
          </c:spPr>
          <c:marker>
            <c:symbol val="circle"/>
            <c:size val="5"/>
            <c:spPr>
              <a:solidFill>
                <a:srgbClr val="000000"/>
              </a:solidFill>
              <a:ln>
                <a:solidFill>
                  <a:srgbClr val="000000"/>
                </a:solidFill>
                <a:prstDash val="solid"/>
              </a:ln>
            </c:spPr>
          </c:marker>
          <c:val>
            <c:numRef>
              <c:f>[1]validace!$B$60:$B$69</c:f>
              <c:numCache>
                <c:formatCode>General</c:formatCode>
                <c:ptCount val="10"/>
                <c:pt idx="0">
                  <c:v>0.4466666666666666</c:v>
                </c:pt>
                <c:pt idx="1">
                  <c:v>-0.6066666666666668</c:v>
                </c:pt>
                <c:pt idx="2">
                  <c:v>1.26</c:v>
                </c:pt>
                <c:pt idx="3">
                  <c:v>0.53666666666666663</c:v>
                </c:pt>
                <c:pt idx="4">
                  <c:v>-0.85333333333333339</c:v>
                </c:pt>
                <c:pt idx="5">
                  <c:v>-9.9999999999999992E-2</c:v>
                </c:pt>
                <c:pt idx="6">
                  <c:v>0.66666666666666663</c:v>
                </c:pt>
                <c:pt idx="7">
                  <c:v>-0.22666666666666668</c:v>
                </c:pt>
                <c:pt idx="8">
                  <c:v>2.0866666666666664</c:v>
                </c:pt>
                <c:pt idx="9">
                  <c:v>-1.3066666666666669</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71EE-4287-976C-1673D8DC413D}"/>
            </c:ext>
          </c:extLst>
        </c:ser>
        <c:ser>
          <c:idx val="3"/>
          <c:order val="1"/>
          <c:tx>
            <c:v>UCL</c:v>
          </c:tx>
          <c:spPr>
            <a:ln w="25400">
              <a:solidFill>
                <a:srgbClr val="FF0000"/>
              </a:solidFill>
              <a:prstDash val="solid"/>
            </a:ln>
          </c:spPr>
          <c:marker>
            <c:symbol val="none"/>
          </c:marker>
          <c:val>
            <c:numRef>
              <c:f>[1]validace!$E$60:$E$69</c:f>
              <c:numCache>
                <c:formatCode>General</c:formatCode>
                <c:ptCount val="10"/>
                <c:pt idx="0">
                  <c:v>0.64377777777777778</c:v>
                </c:pt>
                <c:pt idx="1">
                  <c:v>0.64377777777777778</c:v>
                </c:pt>
                <c:pt idx="2">
                  <c:v>0.64377777777777778</c:v>
                </c:pt>
                <c:pt idx="3">
                  <c:v>0.64377777777777778</c:v>
                </c:pt>
                <c:pt idx="4">
                  <c:v>0.64377777777777778</c:v>
                </c:pt>
                <c:pt idx="5">
                  <c:v>0.64377777777777778</c:v>
                </c:pt>
                <c:pt idx="6">
                  <c:v>0.64377777777777778</c:v>
                </c:pt>
                <c:pt idx="7">
                  <c:v>0.64377777777777778</c:v>
                </c:pt>
                <c:pt idx="8">
                  <c:v>0.64377777777777778</c:v>
                </c:pt>
                <c:pt idx="9">
                  <c:v>0.64377777777777778</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71EE-4287-976C-1673D8DC413D}"/>
            </c:ext>
          </c:extLst>
        </c:ser>
        <c:ser>
          <c:idx val="4"/>
          <c:order val="2"/>
          <c:tx>
            <c:v>CL</c:v>
          </c:tx>
          <c:spPr>
            <a:ln w="25400">
              <a:solidFill>
                <a:srgbClr val="FF0000"/>
              </a:solidFill>
              <a:prstDash val="sysDash"/>
            </a:ln>
          </c:spPr>
          <c:marker>
            <c:symbol val="none"/>
          </c:marker>
          <c:val>
            <c:numRef>
              <c:f>[1]validace!$F$60:$F$69</c:f>
              <c:numCache>
                <c:formatCode>General</c:formatCode>
                <c:ptCount val="10"/>
                <c:pt idx="0">
                  <c:v>1.4444444444443815E-3</c:v>
                </c:pt>
                <c:pt idx="1">
                  <c:v>1.4444444444443815E-3</c:v>
                </c:pt>
                <c:pt idx="2">
                  <c:v>1.4444444444443815E-3</c:v>
                </c:pt>
                <c:pt idx="3">
                  <c:v>1.4444444444443815E-3</c:v>
                </c:pt>
                <c:pt idx="4">
                  <c:v>1.4444444444443815E-3</c:v>
                </c:pt>
                <c:pt idx="5">
                  <c:v>1.4444444444443815E-3</c:v>
                </c:pt>
                <c:pt idx="6">
                  <c:v>1.4444444444443815E-3</c:v>
                </c:pt>
                <c:pt idx="7">
                  <c:v>1.4444444444443815E-3</c:v>
                </c:pt>
                <c:pt idx="8">
                  <c:v>1.4444444444443815E-3</c:v>
                </c:pt>
                <c:pt idx="9">
                  <c:v>1.4444444444443815E-3</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2-71EE-4287-976C-1673D8DC413D}"/>
            </c:ext>
          </c:extLst>
        </c:ser>
        <c:ser>
          <c:idx val="5"/>
          <c:order val="3"/>
          <c:tx>
            <c:v>LCL</c:v>
          </c:tx>
          <c:spPr>
            <a:ln w="25400">
              <a:solidFill>
                <a:srgbClr val="FF0000"/>
              </a:solidFill>
              <a:prstDash val="solid"/>
            </a:ln>
          </c:spPr>
          <c:marker>
            <c:symbol val="none"/>
          </c:marker>
          <c:val>
            <c:numRef>
              <c:f>[1]validace!$G$60:$G$69</c:f>
              <c:numCache>
                <c:formatCode>General</c:formatCode>
                <c:ptCount val="10"/>
                <c:pt idx="0">
                  <c:v>-0.64088888888888906</c:v>
                </c:pt>
                <c:pt idx="1">
                  <c:v>-0.64088888888888906</c:v>
                </c:pt>
                <c:pt idx="2">
                  <c:v>-0.64088888888888906</c:v>
                </c:pt>
                <c:pt idx="3">
                  <c:v>-0.64088888888888906</c:v>
                </c:pt>
                <c:pt idx="4">
                  <c:v>-0.64088888888888906</c:v>
                </c:pt>
                <c:pt idx="5">
                  <c:v>-0.64088888888888906</c:v>
                </c:pt>
                <c:pt idx="6">
                  <c:v>-0.64088888888888906</c:v>
                </c:pt>
                <c:pt idx="7">
                  <c:v>-0.64088888888888906</c:v>
                </c:pt>
                <c:pt idx="8">
                  <c:v>-0.64088888888888906</c:v>
                </c:pt>
                <c:pt idx="9">
                  <c:v>-0.64088888888888906</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3-71EE-4287-976C-1673D8DC413D}"/>
            </c:ext>
          </c:extLst>
        </c:ser>
        <c:dLbls>
          <c:showLegendKey val="0"/>
          <c:showVal val="0"/>
          <c:showCatName val="0"/>
          <c:showSerName val="0"/>
          <c:showPercent val="0"/>
          <c:showBubbleSize val="0"/>
        </c:dLbls>
        <c:marker val="1"/>
        <c:smooth val="0"/>
        <c:axId val="73230592"/>
        <c:axId val="73236864"/>
      </c:lineChart>
      <c:catAx>
        <c:axId val="73230592"/>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43613842806466296"/>
              <c:y val="0.792970390419947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73236864"/>
        <c:crosses val="autoZero"/>
        <c:auto val="1"/>
        <c:lblAlgn val="ctr"/>
        <c:lblOffset val="100"/>
        <c:tickLblSkip val="1"/>
        <c:tickMarkSkip val="1"/>
        <c:noMultiLvlLbl val="0"/>
      </c:catAx>
      <c:valAx>
        <c:axId val="73236864"/>
        <c:scaling>
          <c:orientation val="minMax"/>
        </c:scaling>
        <c:delete val="0"/>
        <c:axPos val="l"/>
        <c:title>
          <c:tx>
            <c:rich>
              <a:bodyPr/>
              <a:lstStyle/>
              <a:p>
                <a:pPr>
                  <a:defRPr sz="800" b="1" i="0" u="none" strike="noStrike" baseline="0">
                    <a:solidFill>
                      <a:srgbClr val="000000"/>
                    </a:solidFill>
                    <a:latin typeface="Arial CE"/>
                    <a:ea typeface="Arial CE"/>
                    <a:cs typeface="Arial CE"/>
                  </a:defRPr>
                </a:pPr>
                <a:r>
                  <a:rPr lang="ru-RU"/>
                  <a:t>Величина </a:t>
                </a:r>
                <a:r>
                  <a:rPr lang="en-US"/>
                  <a:t>R</a:t>
                </a:r>
              </a:p>
            </c:rich>
          </c:tx>
          <c:layout>
            <c:manualLayout>
              <c:xMode val="edge"/>
              <c:yMode val="edge"/>
              <c:x val="0.14953298296145287"/>
              <c:y val="0.394532070209973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7323059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Диаграмма средних величин - испытатель  "</a:t>
            </a:r>
            <a:r>
              <a:rPr lang="en-US"/>
              <a:t>B"</a:t>
            </a:r>
          </a:p>
        </c:rich>
      </c:tx>
      <c:layout>
        <c:manualLayout>
          <c:xMode val="edge"/>
          <c:yMode val="edge"/>
          <c:x val="0.20635139725181412"/>
          <c:y val="3.90625E-2"/>
        </c:manualLayout>
      </c:layout>
      <c:overlay val="0"/>
      <c:spPr>
        <a:noFill/>
        <a:ln w="25400">
          <a:noFill/>
        </a:ln>
      </c:spPr>
    </c:title>
    <c:autoTitleDeleted val="0"/>
    <c:plotArea>
      <c:layout>
        <c:manualLayout>
          <c:layoutTarget val="inner"/>
          <c:xMode val="edge"/>
          <c:yMode val="edge"/>
          <c:x val="9.7972972972973027E-2"/>
          <c:y val="0.30468808114639573"/>
          <c:w val="0.86148648648648662"/>
          <c:h val="0.43359457701602433"/>
        </c:manualLayout>
      </c:layout>
      <c:lineChart>
        <c:grouping val="standard"/>
        <c:varyColors val="0"/>
        <c:ser>
          <c:idx val="0"/>
          <c:order val="0"/>
          <c:tx>
            <c:v>Zkušebník B</c:v>
          </c:tx>
          <c:spPr>
            <a:ln w="25400">
              <a:solidFill>
                <a:srgbClr val="0000FF"/>
              </a:solidFill>
              <a:prstDash val="solid"/>
            </a:ln>
          </c:spPr>
          <c:marker>
            <c:symbol val="circle"/>
            <c:size val="5"/>
            <c:spPr>
              <a:solidFill>
                <a:srgbClr val="000000"/>
              </a:solidFill>
              <a:ln>
                <a:solidFill>
                  <a:srgbClr val="000000"/>
                </a:solidFill>
                <a:prstDash val="solid"/>
              </a:ln>
            </c:spPr>
          </c:marker>
          <c:val>
            <c:numRef>
              <c:f>[1]validace!$C$60:$C$69</c:f>
              <c:numCache>
                <c:formatCode>General</c:formatCode>
                <c:ptCount val="10"/>
                <c:pt idx="0">
                  <c:v>0.13333333333333333</c:v>
                </c:pt>
                <c:pt idx="1">
                  <c:v>-0.79</c:v>
                </c:pt>
                <c:pt idx="2">
                  <c:v>1.1566666666666665</c:v>
                </c:pt>
                <c:pt idx="3">
                  <c:v>0.41333333333333333</c:v>
                </c:pt>
                <c:pt idx="4">
                  <c:v>-1.0133333333333334</c:v>
                </c:pt>
                <c:pt idx="5">
                  <c:v>2.6666666666666661E-2</c:v>
                </c:pt>
                <c:pt idx="6">
                  <c:v>0.6166666666666667</c:v>
                </c:pt>
                <c:pt idx="7">
                  <c:v>-0.29666666666666669</c:v>
                </c:pt>
                <c:pt idx="8">
                  <c:v>2.0366666666666666</c:v>
                </c:pt>
                <c:pt idx="9">
                  <c:v>-1.5999999999999999</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53F0-4F0E-A9F3-4305DFA277FE}"/>
            </c:ext>
          </c:extLst>
        </c:ser>
        <c:ser>
          <c:idx val="3"/>
          <c:order val="1"/>
          <c:tx>
            <c:v>UCL</c:v>
          </c:tx>
          <c:spPr>
            <a:ln w="25400">
              <a:solidFill>
                <a:srgbClr val="FF0000"/>
              </a:solidFill>
              <a:prstDash val="solid"/>
            </a:ln>
          </c:spPr>
          <c:marker>
            <c:symbol val="none"/>
          </c:marker>
          <c:val>
            <c:numRef>
              <c:f>[1]validace!$E$60:$E$69</c:f>
              <c:numCache>
                <c:formatCode>General</c:formatCode>
                <c:ptCount val="10"/>
                <c:pt idx="0">
                  <c:v>0.64377777777777778</c:v>
                </c:pt>
                <c:pt idx="1">
                  <c:v>0.64377777777777778</c:v>
                </c:pt>
                <c:pt idx="2">
                  <c:v>0.64377777777777778</c:v>
                </c:pt>
                <c:pt idx="3">
                  <c:v>0.64377777777777778</c:v>
                </c:pt>
                <c:pt idx="4">
                  <c:v>0.64377777777777778</c:v>
                </c:pt>
                <c:pt idx="5">
                  <c:v>0.64377777777777778</c:v>
                </c:pt>
                <c:pt idx="6">
                  <c:v>0.64377777777777778</c:v>
                </c:pt>
                <c:pt idx="7">
                  <c:v>0.64377777777777778</c:v>
                </c:pt>
                <c:pt idx="8">
                  <c:v>0.64377777777777778</c:v>
                </c:pt>
                <c:pt idx="9">
                  <c:v>0.64377777777777778</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53F0-4F0E-A9F3-4305DFA277FE}"/>
            </c:ext>
          </c:extLst>
        </c:ser>
        <c:ser>
          <c:idx val="4"/>
          <c:order val="2"/>
          <c:tx>
            <c:v>CL</c:v>
          </c:tx>
          <c:spPr>
            <a:ln w="25400">
              <a:solidFill>
                <a:srgbClr val="FF0000"/>
              </a:solidFill>
              <a:prstDash val="sysDash"/>
            </a:ln>
          </c:spPr>
          <c:marker>
            <c:symbol val="none"/>
          </c:marker>
          <c:val>
            <c:numRef>
              <c:f>[1]validace!$F$60:$F$69</c:f>
              <c:numCache>
                <c:formatCode>General</c:formatCode>
                <c:ptCount val="10"/>
                <c:pt idx="0">
                  <c:v>1.4444444444443815E-3</c:v>
                </c:pt>
                <c:pt idx="1">
                  <c:v>1.4444444444443815E-3</c:v>
                </c:pt>
                <c:pt idx="2">
                  <c:v>1.4444444444443815E-3</c:v>
                </c:pt>
                <c:pt idx="3">
                  <c:v>1.4444444444443815E-3</c:v>
                </c:pt>
                <c:pt idx="4">
                  <c:v>1.4444444444443815E-3</c:v>
                </c:pt>
                <c:pt idx="5">
                  <c:v>1.4444444444443815E-3</c:v>
                </c:pt>
                <c:pt idx="6">
                  <c:v>1.4444444444443815E-3</c:v>
                </c:pt>
                <c:pt idx="7">
                  <c:v>1.4444444444443815E-3</c:v>
                </c:pt>
                <c:pt idx="8">
                  <c:v>1.4444444444443815E-3</c:v>
                </c:pt>
                <c:pt idx="9">
                  <c:v>1.4444444444443815E-3</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2-53F0-4F0E-A9F3-4305DFA277FE}"/>
            </c:ext>
          </c:extLst>
        </c:ser>
        <c:ser>
          <c:idx val="5"/>
          <c:order val="3"/>
          <c:tx>
            <c:v>LCL</c:v>
          </c:tx>
          <c:spPr>
            <a:ln w="25400">
              <a:solidFill>
                <a:srgbClr val="FF0000"/>
              </a:solidFill>
              <a:prstDash val="solid"/>
            </a:ln>
          </c:spPr>
          <c:marker>
            <c:symbol val="none"/>
          </c:marker>
          <c:val>
            <c:numRef>
              <c:f>[1]validace!$G$60:$G$69</c:f>
              <c:numCache>
                <c:formatCode>General</c:formatCode>
                <c:ptCount val="10"/>
                <c:pt idx="0">
                  <c:v>-0.64088888888888906</c:v>
                </c:pt>
                <c:pt idx="1">
                  <c:v>-0.64088888888888906</c:v>
                </c:pt>
                <c:pt idx="2">
                  <c:v>-0.64088888888888906</c:v>
                </c:pt>
                <c:pt idx="3">
                  <c:v>-0.64088888888888906</c:v>
                </c:pt>
                <c:pt idx="4">
                  <c:v>-0.64088888888888906</c:v>
                </c:pt>
                <c:pt idx="5">
                  <c:v>-0.64088888888888906</c:v>
                </c:pt>
                <c:pt idx="6">
                  <c:v>-0.64088888888888906</c:v>
                </c:pt>
                <c:pt idx="7">
                  <c:v>-0.64088888888888906</c:v>
                </c:pt>
                <c:pt idx="8">
                  <c:v>-0.64088888888888906</c:v>
                </c:pt>
                <c:pt idx="9">
                  <c:v>-0.64088888888888906</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3-53F0-4F0E-A9F3-4305DFA277FE}"/>
            </c:ext>
          </c:extLst>
        </c:ser>
        <c:dLbls>
          <c:showLegendKey val="0"/>
          <c:showVal val="0"/>
          <c:showCatName val="0"/>
          <c:showSerName val="0"/>
          <c:showPercent val="0"/>
          <c:showBubbleSize val="0"/>
        </c:dLbls>
        <c:marker val="1"/>
        <c:smooth val="0"/>
        <c:axId val="86248064"/>
        <c:axId val="86262528"/>
      </c:lineChart>
      <c:catAx>
        <c:axId val="86248064"/>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32770294889609386"/>
              <c:y val="0.777345390419947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6262528"/>
        <c:crosses val="autoZero"/>
        <c:auto val="1"/>
        <c:lblAlgn val="ctr"/>
        <c:lblOffset val="100"/>
        <c:tickLblSkip val="1"/>
        <c:tickMarkSkip val="1"/>
        <c:noMultiLvlLbl val="0"/>
      </c:catAx>
      <c:valAx>
        <c:axId val="862625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6248064"/>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Диаграмма средних величин - испытатель "</a:t>
            </a:r>
            <a:r>
              <a:rPr lang="en-US"/>
              <a:t>C"</a:t>
            </a:r>
          </a:p>
        </c:rich>
      </c:tx>
      <c:layout>
        <c:manualLayout>
          <c:xMode val="edge"/>
          <c:yMode val="edge"/>
          <c:x val="0.1178344836525064"/>
          <c:y val="3.90625E-2"/>
        </c:manualLayout>
      </c:layout>
      <c:overlay val="0"/>
      <c:spPr>
        <a:noFill/>
        <a:ln w="25400">
          <a:noFill/>
        </a:ln>
      </c:spPr>
    </c:title>
    <c:autoTitleDeleted val="0"/>
    <c:plotArea>
      <c:layout>
        <c:manualLayout>
          <c:layoutTarget val="inner"/>
          <c:xMode val="edge"/>
          <c:yMode val="edge"/>
          <c:x val="9.2356687898089165E-2"/>
          <c:y val="0.32031311094877507"/>
          <c:w val="0.83439490445860065"/>
          <c:h val="0.40234451741126531"/>
        </c:manualLayout>
      </c:layout>
      <c:lineChart>
        <c:grouping val="standard"/>
        <c:varyColors val="0"/>
        <c:ser>
          <c:idx val="0"/>
          <c:order val="0"/>
          <c:tx>
            <c:v>Zkušebník C</c:v>
          </c:tx>
          <c:spPr>
            <a:ln w="25400">
              <a:solidFill>
                <a:srgbClr val="0000FF"/>
              </a:solidFill>
              <a:prstDash val="solid"/>
            </a:ln>
          </c:spPr>
          <c:marker>
            <c:symbol val="circle"/>
            <c:size val="5"/>
            <c:spPr>
              <a:solidFill>
                <a:srgbClr val="000000"/>
              </a:solidFill>
              <a:ln>
                <a:solidFill>
                  <a:srgbClr val="000000"/>
                </a:solidFill>
                <a:prstDash val="solid"/>
              </a:ln>
            </c:spPr>
          </c:marker>
          <c:val>
            <c:numRef>
              <c:f>[1]validace!$D$60:$D$69</c:f>
              <c:numCache>
                <c:formatCode>General</c:formatCode>
                <c:ptCount val="10"/>
                <c:pt idx="0">
                  <c:v>-7.3333333333333334E-2</c:v>
                </c:pt>
                <c:pt idx="1">
                  <c:v>-1.1566666666666665</c:v>
                </c:pt>
                <c:pt idx="2">
                  <c:v>0.88</c:v>
                </c:pt>
                <c:pt idx="3">
                  <c:v>0.15</c:v>
                </c:pt>
                <c:pt idx="4">
                  <c:v>-1.3266666666666669</c:v>
                </c:pt>
                <c:pt idx="5">
                  <c:v>-0.48333333333333334</c:v>
                </c:pt>
                <c:pt idx="6">
                  <c:v>0.08</c:v>
                </c:pt>
                <c:pt idx="7">
                  <c:v>-0.5033333333333333</c:v>
                </c:pt>
                <c:pt idx="8">
                  <c:v>1.6966666666666665</c:v>
                </c:pt>
                <c:pt idx="9">
                  <c:v>-1.8066666666666666</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5250-4390-9392-96765E231328}"/>
            </c:ext>
          </c:extLst>
        </c:ser>
        <c:ser>
          <c:idx val="3"/>
          <c:order val="1"/>
          <c:tx>
            <c:v>UCL</c:v>
          </c:tx>
          <c:spPr>
            <a:ln w="25400">
              <a:solidFill>
                <a:srgbClr val="FF0000"/>
              </a:solidFill>
              <a:prstDash val="solid"/>
            </a:ln>
          </c:spPr>
          <c:marker>
            <c:symbol val="none"/>
          </c:marker>
          <c:val>
            <c:numRef>
              <c:f>[1]validace!$E$60:$E$69</c:f>
              <c:numCache>
                <c:formatCode>General</c:formatCode>
                <c:ptCount val="10"/>
                <c:pt idx="0">
                  <c:v>0.64377777777777778</c:v>
                </c:pt>
                <c:pt idx="1">
                  <c:v>0.64377777777777778</c:v>
                </c:pt>
                <c:pt idx="2">
                  <c:v>0.64377777777777778</c:v>
                </c:pt>
                <c:pt idx="3">
                  <c:v>0.64377777777777778</c:v>
                </c:pt>
                <c:pt idx="4">
                  <c:v>0.64377777777777778</c:v>
                </c:pt>
                <c:pt idx="5">
                  <c:v>0.64377777777777778</c:v>
                </c:pt>
                <c:pt idx="6">
                  <c:v>0.64377777777777778</c:v>
                </c:pt>
                <c:pt idx="7">
                  <c:v>0.64377777777777778</c:v>
                </c:pt>
                <c:pt idx="8">
                  <c:v>0.64377777777777778</c:v>
                </c:pt>
                <c:pt idx="9">
                  <c:v>0.64377777777777778</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5250-4390-9392-96765E231328}"/>
            </c:ext>
          </c:extLst>
        </c:ser>
        <c:ser>
          <c:idx val="4"/>
          <c:order val="2"/>
          <c:tx>
            <c:v>CL</c:v>
          </c:tx>
          <c:spPr>
            <a:ln w="25400">
              <a:solidFill>
                <a:srgbClr val="FF0000"/>
              </a:solidFill>
              <a:prstDash val="sysDash"/>
            </a:ln>
          </c:spPr>
          <c:marker>
            <c:symbol val="none"/>
          </c:marker>
          <c:val>
            <c:numRef>
              <c:f>[1]validace!$F$60:$F$69</c:f>
              <c:numCache>
                <c:formatCode>General</c:formatCode>
                <c:ptCount val="10"/>
                <c:pt idx="0">
                  <c:v>1.4444444444443815E-3</c:v>
                </c:pt>
                <c:pt idx="1">
                  <c:v>1.4444444444443815E-3</c:v>
                </c:pt>
                <c:pt idx="2">
                  <c:v>1.4444444444443815E-3</c:v>
                </c:pt>
                <c:pt idx="3">
                  <c:v>1.4444444444443815E-3</c:v>
                </c:pt>
                <c:pt idx="4">
                  <c:v>1.4444444444443815E-3</c:v>
                </c:pt>
                <c:pt idx="5">
                  <c:v>1.4444444444443815E-3</c:v>
                </c:pt>
                <c:pt idx="6">
                  <c:v>1.4444444444443815E-3</c:v>
                </c:pt>
                <c:pt idx="7">
                  <c:v>1.4444444444443815E-3</c:v>
                </c:pt>
                <c:pt idx="8">
                  <c:v>1.4444444444443815E-3</c:v>
                </c:pt>
                <c:pt idx="9">
                  <c:v>1.4444444444443815E-3</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2-5250-4390-9392-96765E231328}"/>
            </c:ext>
          </c:extLst>
        </c:ser>
        <c:ser>
          <c:idx val="5"/>
          <c:order val="3"/>
          <c:tx>
            <c:v>LCL</c:v>
          </c:tx>
          <c:spPr>
            <a:ln w="25400">
              <a:solidFill>
                <a:srgbClr val="FF0000"/>
              </a:solidFill>
              <a:prstDash val="solid"/>
            </a:ln>
          </c:spPr>
          <c:marker>
            <c:symbol val="none"/>
          </c:marker>
          <c:val>
            <c:numRef>
              <c:f>[1]validace!$G$60:$G$69</c:f>
              <c:numCache>
                <c:formatCode>General</c:formatCode>
                <c:ptCount val="10"/>
                <c:pt idx="0">
                  <c:v>-0.64088888888888906</c:v>
                </c:pt>
                <c:pt idx="1">
                  <c:v>-0.64088888888888906</c:v>
                </c:pt>
                <c:pt idx="2">
                  <c:v>-0.64088888888888906</c:v>
                </c:pt>
                <c:pt idx="3">
                  <c:v>-0.64088888888888906</c:v>
                </c:pt>
                <c:pt idx="4">
                  <c:v>-0.64088888888888906</c:v>
                </c:pt>
                <c:pt idx="5">
                  <c:v>-0.64088888888888906</c:v>
                </c:pt>
                <c:pt idx="6">
                  <c:v>-0.64088888888888906</c:v>
                </c:pt>
                <c:pt idx="7">
                  <c:v>-0.64088888888888906</c:v>
                </c:pt>
                <c:pt idx="8">
                  <c:v>-0.64088888888888906</c:v>
                </c:pt>
                <c:pt idx="9">
                  <c:v>-0.64088888888888906</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3-5250-4390-9392-96765E231328}"/>
            </c:ext>
          </c:extLst>
        </c:ser>
        <c:dLbls>
          <c:showLegendKey val="0"/>
          <c:showVal val="0"/>
          <c:showCatName val="0"/>
          <c:showSerName val="0"/>
          <c:showPercent val="0"/>
          <c:showBubbleSize val="0"/>
        </c:dLbls>
        <c:marker val="1"/>
        <c:smooth val="0"/>
        <c:axId val="86275968"/>
        <c:axId val="85858944"/>
      </c:lineChart>
      <c:catAx>
        <c:axId val="86275968"/>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32165613557564565"/>
              <c:y val="0.761720390419947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5858944"/>
        <c:crosses val="autoZero"/>
        <c:auto val="1"/>
        <c:lblAlgn val="ctr"/>
        <c:lblOffset val="100"/>
        <c:tickLblSkip val="1"/>
        <c:tickMarkSkip val="1"/>
        <c:noMultiLvlLbl val="0"/>
      </c:catAx>
      <c:valAx>
        <c:axId val="858589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627596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CE"/>
                <a:ea typeface="Arial CE"/>
                <a:cs typeface="Arial CE"/>
              </a:defRPr>
            </a:pPr>
            <a:r>
              <a:rPr lang="ru-RU"/>
              <a:t>Диаграмма размаха - испытатель "</a:t>
            </a:r>
            <a:r>
              <a:rPr lang="en-US"/>
              <a:t>A"</a:t>
            </a:r>
          </a:p>
        </c:rich>
      </c:tx>
      <c:layout>
        <c:manualLayout>
          <c:xMode val="edge"/>
          <c:yMode val="edge"/>
          <c:x val="0.17757071339954239"/>
          <c:y val="3.8314176245210725E-2"/>
        </c:manualLayout>
      </c:layout>
      <c:overlay val="0"/>
      <c:spPr>
        <a:noFill/>
        <a:ln w="25400">
          <a:noFill/>
        </a:ln>
      </c:spPr>
    </c:title>
    <c:autoTitleDeleted val="0"/>
    <c:plotArea>
      <c:layout>
        <c:manualLayout>
          <c:layoutTarget val="inner"/>
          <c:xMode val="edge"/>
          <c:yMode val="edge"/>
          <c:x val="0.29283578184561865"/>
          <c:y val="0.29502026094147088"/>
          <c:w val="0.66978396911497662"/>
          <c:h val="0.39463749190871938"/>
        </c:manualLayout>
      </c:layout>
      <c:lineChart>
        <c:grouping val="standard"/>
        <c:varyColors val="0"/>
        <c:ser>
          <c:idx val="0"/>
          <c:order val="0"/>
          <c:tx>
            <c:v>Zkušebník A</c:v>
          </c:tx>
          <c:spPr>
            <a:ln w="25400">
              <a:solidFill>
                <a:srgbClr val="0000FF"/>
              </a:solidFill>
              <a:prstDash val="solid"/>
            </a:ln>
          </c:spPr>
          <c:marker>
            <c:symbol val="circle"/>
            <c:size val="5"/>
            <c:spPr>
              <a:solidFill>
                <a:srgbClr val="000000"/>
              </a:solidFill>
              <a:ln>
                <a:solidFill>
                  <a:srgbClr val="000000"/>
                </a:solidFill>
                <a:prstDash val="solid"/>
              </a:ln>
            </c:spPr>
          </c:marker>
          <c:val>
            <c:numRef>
              <c:f>[1]validace!$H$60:$H$69</c:f>
              <c:numCache>
                <c:formatCode>General</c:formatCode>
                <c:ptCount val="10"/>
                <c:pt idx="0">
                  <c:v>0.35000000000000003</c:v>
                </c:pt>
                <c:pt idx="1">
                  <c:v>0.12</c:v>
                </c:pt>
                <c:pt idx="2">
                  <c:v>0.17000000000000015</c:v>
                </c:pt>
                <c:pt idx="3">
                  <c:v>0.17000000000000004</c:v>
                </c:pt>
                <c:pt idx="4">
                  <c:v>0.12</c:v>
                </c:pt>
                <c:pt idx="5">
                  <c:v>0.22999999999999998</c:v>
                </c:pt>
                <c:pt idx="6">
                  <c:v>0.16000000000000003</c:v>
                </c:pt>
                <c:pt idx="7">
                  <c:v>0.13999999999999999</c:v>
                </c:pt>
                <c:pt idx="8">
                  <c:v>0.2699999999999998</c:v>
                </c:pt>
                <c:pt idx="9">
                  <c:v>0.1100000000000001</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0-0D19-458D-AD81-8495EDD3C4CA}"/>
            </c:ext>
          </c:extLst>
        </c:ser>
        <c:ser>
          <c:idx val="3"/>
          <c:order val="1"/>
          <c:tx>
            <c:v>UCL</c:v>
          </c:tx>
          <c:spPr>
            <a:ln w="25400">
              <a:solidFill>
                <a:srgbClr val="FF0000"/>
              </a:solidFill>
              <a:prstDash val="solid"/>
            </a:ln>
          </c:spPr>
          <c:marker>
            <c:symbol val="none"/>
          </c:marker>
          <c:val>
            <c:numRef>
              <c:f>[1]validace!$K$60:$K$69</c:f>
              <c:numCache>
                <c:formatCode>General</c:formatCode>
                <c:ptCount val="10"/>
                <c:pt idx="0">
                  <c:v>0.87945000000000007</c:v>
                </c:pt>
                <c:pt idx="1">
                  <c:v>0.87945000000000007</c:v>
                </c:pt>
                <c:pt idx="2">
                  <c:v>0.87945000000000007</c:v>
                </c:pt>
                <c:pt idx="3">
                  <c:v>0.87945000000000007</c:v>
                </c:pt>
                <c:pt idx="4">
                  <c:v>0.87945000000000007</c:v>
                </c:pt>
                <c:pt idx="5">
                  <c:v>0.87945000000000007</c:v>
                </c:pt>
                <c:pt idx="6">
                  <c:v>0.87945000000000007</c:v>
                </c:pt>
                <c:pt idx="7">
                  <c:v>0.87945000000000007</c:v>
                </c:pt>
                <c:pt idx="8">
                  <c:v>0.87945000000000007</c:v>
                </c:pt>
                <c:pt idx="9">
                  <c:v>0.87945000000000007</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1-0D19-458D-AD81-8495EDD3C4CA}"/>
            </c:ext>
          </c:extLst>
        </c:ser>
        <c:ser>
          <c:idx val="4"/>
          <c:order val="2"/>
          <c:tx>
            <c:v>CL</c:v>
          </c:tx>
          <c:spPr>
            <a:ln w="25400">
              <a:solidFill>
                <a:srgbClr val="FF0000"/>
              </a:solidFill>
              <a:prstDash val="sysDash"/>
            </a:ln>
          </c:spPr>
          <c:marker>
            <c:symbol val="none"/>
          </c:marker>
          <c:val>
            <c:numRef>
              <c:f>[1]validace!$L$60:$L$69</c:f>
              <c:numCache>
                <c:formatCode>General</c:formatCode>
                <c:ptCount val="10"/>
                <c:pt idx="0">
                  <c:v>0.34166666666666673</c:v>
                </c:pt>
                <c:pt idx="1">
                  <c:v>0.34166666666666673</c:v>
                </c:pt>
                <c:pt idx="2">
                  <c:v>0.34166666666666673</c:v>
                </c:pt>
                <c:pt idx="3">
                  <c:v>0.34166666666666673</c:v>
                </c:pt>
                <c:pt idx="4">
                  <c:v>0.34166666666666673</c:v>
                </c:pt>
                <c:pt idx="5">
                  <c:v>0.34166666666666673</c:v>
                </c:pt>
                <c:pt idx="6">
                  <c:v>0.34166666666666673</c:v>
                </c:pt>
                <c:pt idx="7">
                  <c:v>0.34166666666666673</c:v>
                </c:pt>
                <c:pt idx="8">
                  <c:v>0.34166666666666673</c:v>
                </c:pt>
                <c:pt idx="9">
                  <c:v>0.34166666666666673</c:v>
                </c:pt>
              </c:numCache>
            </c:numRef>
          </c:val>
          <c:smooth val="0"/>
          <c:extLst>
            <c:ext xmlns:c15="http://schemas.microsoft.com/office/drawing/2012/chart" uri="{02D57815-91ED-43cb-92C2-25804820EDAC}">
              <c15:filteredCategoryTitle>
                <c15:cat>
                  <c:numRef>
                    <c:extLst>
                      <c:ext uri="{02D57815-91ED-43cb-92C2-25804820EDAC}">
                        <c15:formulaRef>
                          <c15:sqref>[1]validace!$A$60:$A$69</c15:sqref>
                        </c15:formulaRef>
                      </c:ext>
                    </c:extLst>
                    <c:numCache>
                      <c:formatCode>General</c:formatCode>
                      <c:ptCount val="10"/>
                      <c:pt idx="0">
                        <c:v>1</c:v>
                      </c:pt>
                      <c:pt idx="1">
                        <c:v>2</c:v>
                      </c:pt>
                      <c:pt idx="2">
                        <c:v>3</c:v>
                      </c:pt>
                      <c:pt idx="3">
                        <c:v>4</c:v>
                      </c:pt>
                      <c:pt idx="4">
                        <c:v>5</c:v>
                      </c:pt>
                      <c:pt idx="5">
                        <c:v>6</c:v>
                      </c:pt>
                      <c:pt idx="6">
                        <c:v>7</c:v>
                      </c:pt>
                      <c:pt idx="7">
                        <c:v>8</c:v>
                      </c:pt>
                      <c:pt idx="8">
                        <c:v>9</c:v>
                      </c:pt>
                      <c:pt idx="9">
                        <c:v>10</c:v>
                      </c:pt>
                    </c:numCache>
                  </c:numRef>
                </c15:cat>
              </c15:filteredCategoryTitle>
            </c:ext>
            <c:ext xmlns:c16="http://schemas.microsoft.com/office/drawing/2014/chart" uri="{C3380CC4-5D6E-409C-BE32-E72D297353CC}">
              <c16:uniqueId val="{00000002-0D19-458D-AD81-8495EDD3C4CA}"/>
            </c:ext>
          </c:extLst>
        </c:ser>
        <c:dLbls>
          <c:showLegendKey val="0"/>
          <c:showVal val="0"/>
          <c:showCatName val="0"/>
          <c:showSerName val="0"/>
          <c:showPercent val="0"/>
          <c:showBubbleSize val="0"/>
        </c:dLbls>
        <c:marker val="1"/>
        <c:smooth val="0"/>
        <c:axId val="85905408"/>
        <c:axId val="85907328"/>
      </c:lineChart>
      <c:catAx>
        <c:axId val="85905408"/>
        <c:scaling>
          <c:orientation val="minMax"/>
        </c:scaling>
        <c:delete val="0"/>
        <c:axPos val="b"/>
        <c:title>
          <c:tx>
            <c:rich>
              <a:bodyPr/>
              <a:lstStyle/>
              <a:p>
                <a:pPr>
                  <a:defRPr sz="800" b="1" i="0" u="none" strike="noStrike" baseline="0">
                    <a:solidFill>
                      <a:srgbClr val="000000"/>
                    </a:solidFill>
                    <a:latin typeface="Arial CE"/>
                    <a:ea typeface="Arial CE"/>
                    <a:cs typeface="Arial CE"/>
                  </a:defRPr>
                </a:pPr>
                <a:r>
                  <a:rPr lang="ru-RU"/>
                  <a:t>количество деталей</a:t>
                </a:r>
              </a:p>
            </c:rich>
          </c:tx>
          <c:layout>
            <c:manualLayout>
              <c:xMode val="edge"/>
              <c:yMode val="edge"/>
              <c:x val="0.44236906253701663"/>
              <c:y val="0.793106264015848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5907328"/>
        <c:crosses val="autoZero"/>
        <c:auto val="1"/>
        <c:lblAlgn val="ctr"/>
        <c:lblOffset val="100"/>
        <c:tickLblSkip val="1"/>
        <c:tickMarkSkip val="1"/>
        <c:noMultiLvlLbl val="0"/>
      </c:catAx>
      <c:valAx>
        <c:axId val="85907328"/>
        <c:scaling>
          <c:orientation val="minMax"/>
        </c:scaling>
        <c:delete val="0"/>
        <c:axPos val="l"/>
        <c:title>
          <c:tx>
            <c:rich>
              <a:bodyPr/>
              <a:lstStyle/>
              <a:p>
                <a:pPr>
                  <a:defRPr sz="800" b="1" i="0" u="none" strike="noStrike" baseline="0">
                    <a:solidFill>
                      <a:srgbClr val="000000"/>
                    </a:solidFill>
                    <a:latin typeface="Arial CE"/>
                    <a:ea typeface="Arial CE"/>
                    <a:cs typeface="Arial CE"/>
                  </a:defRPr>
                </a:pPr>
                <a:r>
                  <a:rPr lang="ru-RU"/>
                  <a:t>Величина </a:t>
                </a:r>
                <a:r>
                  <a:rPr lang="en-US"/>
                  <a:t>R</a:t>
                </a:r>
              </a:p>
            </c:rich>
          </c:tx>
          <c:layout>
            <c:manualLayout>
              <c:xMode val="edge"/>
              <c:yMode val="edge"/>
              <c:x val="0.14953298296145287"/>
              <c:y val="0.360154463450689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ru-RU"/>
          </a:p>
        </c:txPr>
        <c:crossAx val="8590540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CE"/>
          <a:ea typeface="Arial CE"/>
          <a:cs typeface="Arial CE"/>
        </a:defRPr>
      </a:pPr>
      <a:endParaRPr lang="ru-RU"/>
    </a:p>
  </c:txPr>
  <c:printSettings>
    <c:headerFooter alignWithMargins="0"/>
    <c:pageMargins b="1" l="0.75000000000000144" r="0.75000000000000144" t="1" header="0.49212598450000067" footer="0.49212598450000067"/>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checked="Checked" firstButton="1"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AA3"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12" Type="http://schemas.openxmlformats.org/officeDocument/2006/relationships/image" Target="../media/image42.pn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11" Type="http://schemas.openxmlformats.org/officeDocument/2006/relationships/image" Target="../media/image41.jpeg"/><Relationship Id="rId5" Type="http://schemas.openxmlformats.org/officeDocument/2006/relationships/image" Target="../media/image35.jpeg"/><Relationship Id="rId10" Type="http://schemas.openxmlformats.org/officeDocument/2006/relationships/image" Target="../media/image40.jpg"/><Relationship Id="rId4" Type="http://schemas.openxmlformats.org/officeDocument/2006/relationships/image" Target="../media/image34.png"/><Relationship Id="rId9" Type="http://schemas.openxmlformats.org/officeDocument/2006/relationships/image" Target="../media/image39.jp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6.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3" Type="http://schemas.openxmlformats.org/officeDocument/2006/relationships/image" Target="../media/image4.emf"/><Relationship Id="rId21" Type="http://schemas.openxmlformats.org/officeDocument/2006/relationships/image" Target="../media/image22.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29" Type="http://schemas.openxmlformats.org/officeDocument/2006/relationships/image" Target="../media/image30.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10" Type="http://schemas.openxmlformats.org/officeDocument/2006/relationships/image" Target="../media/image11.emf"/><Relationship Id="rId19" Type="http://schemas.openxmlformats.org/officeDocument/2006/relationships/image" Target="../media/image20.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15</xdr:row>
          <xdr:rowOff>133350</xdr:rowOff>
        </xdr:from>
        <xdr:to>
          <xdr:col>6</xdr:col>
          <xdr:colOff>409575</xdr:colOff>
          <xdr:row>17</xdr:row>
          <xdr:rowOff>66675</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Геометрич. Парам.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xdr:row>
          <xdr:rowOff>133350</xdr:rowOff>
        </xdr:from>
        <xdr:to>
          <xdr:col>8</xdr:col>
          <xdr:colOff>419100</xdr:colOff>
          <xdr:row>17</xdr:row>
          <xdr:rowOff>66675</xdr:rowOff>
        </xdr:to>
        <xdr:sp macro="" textlink="">
          <xdr:nvSpPr>
            <xdr:cNvPr id="24580" name="Check Box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Материал / Функции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15</xdr:row>
          <xdr:rowOff>133350</xdr:rowOff>
        </xdr:from>
        <xdr:to>
          <xdr:col>9</xdr:col>
          <xdr:colOff>685800</xdr:colOff>
          <xdr:row>17</xdr:row>
          <xdr:rowOff>66675</xdr:rowOff>
        </xdr:to>
        <xdr:sp macro="" textlink="">
          <xdr:nvSpPr>
            <xdr:cNvPr id="24581" name="Check Box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Внешний вид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0</xdr:rowOff>
        </xdr:from>
        <xdr:to>
          <xdr:col>9</xdr:col>
          <xdr:colOff>876300</xdr:colOff>
          <xdr:row>38</xdr:row>
          <xdr:rowOff>57150</xdr:rowOff>
        </xdr:to>
        <xdr:sp macro="" textlink="">
          <xdr:nvSpPr>
            <xdr:cNvPr id="24583" name="Option Button 7" hidden="1">
              <a:extLst>
                <a:ext uri="{63B3BB69-23CF-44E3-9099-C40C66FF867C}">
                  <a14:compatExt spid="_x0000_s245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Уровень 1 - Потребителю представляется только ручательство (и для обозначенных деталей внешнего вида-отчет об одобрении вн. вида)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38</xdr:row>
          <xdr:rowOff>0</xdr:rowOff>
        </xdr:from>
        <xdr:to>
          <xdr:col>9</xdr:col>
          <xdr:colOff>523875</xdr:colOff>
          <xdr:row>39</xdr:row>
          <xdr:rowOff>57150</xdr:rowOff>
        </xdr:to>
        <xdr:sp macro="" textlink="">
          <xdr:nvSpPr>
            <xdr:cNvPr id="24584" name="Option Button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Уровень 2 - Потребителю предоставляется ручательство с образцами продукции и ограниченными поддерживающими данными.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0</xdr:rowOff>
        </xdr:from>
        <xdr:to>
          <xdr:col>9</xdr:col>
          <xdr:colOff>571500</xdr:colOff>
          <xdr:row>40</xdr:row>
          <xdr:rowOff>57150</xdr:rowOff>
        </xdr:to>
        <xdr:sp macro="" textlink="">
          <xdr:nvSpPr>
            <xdr:cNvPr id="24585" name="Option Button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Уровень 3 - Потребителю предоставляется ручательство с образцами продукции и полными поддерживающими данными.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40</xdr:row>
          <xdr:rowOff>0</xdr:rowOff>
        </xdr:from>
        <xdr:to>
          <xdr:col>8</xdr:col>
          <xdr:colOff>0</xdr:colOff>
          <xdr:row>41</xdr:row>
          <xdr:rowOff>57150</xdr:rowOff>
        </xdr:to>
        <xdr:sp macro="" textlink="">
          <xdr:nvSpPr>
            <xdr:cNvPr id="24586" name="Option Button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Уровень 4 - Представляется ручательство, другие требования определяются потребителем.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41</xdr:row>
          <xdr:rowOff>0</xdr:rowOff>
        </xdr:from>
        <xdr:to>
          <xdr:col>9</xdr:col>
          <xdr:colOff>561975</xdr:colOff>
          <xdr:row>42</xdr:row>
          <xdr:rowOff>57150</xdr:rowOff>
        </xdr:to>
        <xdr:sp macro="" textlink="">
          <xdr:nvSpPr>
            <xdr:cNvPr id="24587" name="Option Button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Уровень 5 - Ручательство с образцами продукции полными поддерживающими данными анализируются на месте производства у поставщика.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46</xdr:row>
          <xdr:rowOff>9525</xdr:rowOff>
        </xdr:from>
        <xdr:to>
          <xdr:col>4</xdr:col>
          <xdr:colOff>581025</xdr:colOff>
          <xdr:row>47</xdr:row>
          <xdr:rowOff>95250</xdr:rowOff>
        </xdr:to>
        <xdr:sp macro="" textlink="">
          <xdr:nvSpPr>
            <xdr:cNvPr id="24589" name="Check Box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испытаний матер. и экспл. хар.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257175</xdr:colOff>
          <xdr:row>47</xdr:row>
          <xdr:rowOff>85725</xdr:rowOff>
        </xdr:to>
        <xdr:sp macro="" textlink="">
          <xdr:nvSpPr>
            <xdr:cNvPr id="24590" name="Check Box 14" hidden="1">
              <a:extLst>
                <a:ext uri="{63B3BB69-23CF-44E3-9099-C40C66FF867C}">
                  <a14:compatExt spid="_x0000_s245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внешнего вида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46</xdr:row>
          <xdr:rowOff>0</xdr:rowOff>
        </xdr:from>
        <xdr:to>
          <xdr:col>9</xdr:col>
          <xdr:colOff>104775</xdr:colOff>
          <xdr:row>47</xdr:row>
          <xdr:rowOff>85725</xdr:rowOff>
        </xdr:to>
        <xdr:sp macro="" textlink="">
          <xdr:nvSpPr>
            <xdr:cNvPr id="24591" name="Check Box 15" hidden="1">
              <a:extLst>
                <a:ext uri="{63B3BB69-23CF-44E3-9099-C40C66FF867C}">
                  <a14:compatExt spid="_x0000_s245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статистического управления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48</xdr:row>
          <xdr:rowOff>47625</xdr:rowOff>
        </xdr:from>
        <xdr:to>
          <xdr:col>4</xdr:col>
          <xdr:colOff>561975</xdr:colOff>
          <xdr:row>50</xdr:row>
          <xdr:rowOff>9525</xdr:rowOff>
        </xdr:to>
        <xdr:sp macro="" textlink="">
          <xdr:nvSpPr>
            <xdr:cNvPr id="24592" name="Option Button 16" hidden="1">
              <a:extLst>
                <a:ext uri="{63B3BB69-23CF-44E3-9099-C40C66FF867C}">
                  <a14:compatExt spid="_x0000_s245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47625</xdr:rowOff>
        </xdr:from>
        <xdr:to>
          <xdr:col>5</xdr:col>
          <xdr:colOff>428625</xdr:colOff>
          <xdr:row>50</xdr:row>
          <xdr:rowOff>9525</xdr:rowOff>
        </xdr:to>
        <xdr:sp macro="" textlink="">
          <xdr:nvSpPr>
            <xdr:cNvPr id="24593" name="Option Button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63</xdr:row>
          <xdr:rowOff>19050</xdr:rowOff>
        </xdr:from>
        <xdr:to>
          <xdr:col>1</xdr:col>
          <xdr:colOff>95250</xdr:colOff>
          <xdr:row>64</xdr:row>
          <xdr:rowOff>76200</xdr:rowOff>
        </xdr:to>
        <xdr:sp macro="" textlink="">
          <xdr:nvSpPr>
            <xdr:cNvPr id="24596" name="Option Button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Одобрено</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63</xdr:row>
          <xdr:rowOff>9525</xdr:rowOff>
        </xdr:from>
        <xdr:to>
          <xdr:col>2</xdr:col>
          <xdr:colOff>447675</xdr:colOff>
          <xdr:row>64</xdr:row>
          <xdr:rowOff>66675</xdr:rowOff>
        </xdr:to>
        <xdr:sp macro="" textlink="">
          <xdr:nvSpPr>
            <xdr:cNvPr id="24597" name="Option Button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Отклонено</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63</xdr:row>
          <xdr:rowOff>19050</xdr:rowOff>
        </xdr:from>
        <xdr:to>
          <xdr:col>3</xdr:col>
          <xdr:colOff>123825</xdr:colOff>
          <xdr:row>64</xdr:row>
          <xdr:rowOff>66675</xdr:rowOff>
        </xdr:to>
        <xdr:sp macro="" textlink="">
          <xdr:nvSpPr>
            <xdr:cNvPr id="24598" name="Option Button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Другое</a:t>
              </a:r>
            </a:p>
          </xdr:txBody>
        </xdr:sp>
        <xdr:clientData/>
      </xdr:twoCellAnchor>
    </mc:Choice>
    <mc:Fallback/>
  </mc:AlternateContent>
  <xdr:twoCellAnchor>
    <xdr:from>
      <xdr:col>2</xdr:col>
      <xdr:colOff>666750</xdr:colOff>
      <xdr:row>0</xdr:row>
      <xdr:rowOff>0</xdr:rowOff>
    </xdr:from>
    <xdr:to>
      <xdr:col>7</xdr:col>
      <xdr:colOff>123825</xdr:colOff>
      <xdr:row>1</xdr:row>
      <xdr:rowOff>0</xdr:rowOff>
    </xdr:to>
    <xdr:sp macro="" textlink="">
      <xdr:nvSpPr>
        <xdr:cNvPr id="24599" name="Rectangle 23"/>
        <xdr:cNvSpPr>
          <a:spLocks noChangeArrowheads="1"/>
        </xdr:cNvSpPr>
      </xdr:nvSpPr>
      <xdr:spPr bwMode="auto">
        <a:xfrm>
          <a:off x="2095500" y="0"/>
          <a:ext cx="2952750" cy="257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29</xdr:row>
          <xdr:rowOff>123825</xdr:rowOff>
        </xdr:from>
        <xdr:to>
          <xdr:col>4</xdr:col>
          <xdr:colOff>19050</xdr:colOff>
          <xdr:row>31</xdr:row>
          <xdr:rowOff>38100</xdr:rowOff>
        </xdr:to>
        <xdr:sp macro="" textlink="">
          <xdr:nvSpPr>
            <xdr:cNvPr id="24600" name="Option Button 24" hidden="1">
              <a:extLst>
                <a:ext uri="{63B3BB69-23CF-44E3-9099-C40C66FF867C}">
                  <a14:compatExt spid="_x0000_s24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Первоначальное представление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4</xdr:col>
          <xdr:colOff>19050</xdr:colOff>
          <xdr:row>32</xdr:row>
          <xdr:rowOff>57150</xdr:rowOff>
        </xdr:to>
        <xdr:sp macro="" textlink="">
          <xdr:nvSpPr>
            <xdr:cNvPr id="24601" name="Option Button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Техническое изменение(ия)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4</xdr:col>
          <xdr:colOff>533400</xdr:colOff>
          <xdr:row>33</xdr:row>
          <xdr:rowOff>57150</xdr:rowOff>
        </xdr:to>
        <xdr:sp macro="" textlink="">
          <xdr:nvSpPr>
            <xdr:cNvPr id="24602" name="Option Button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Оснастка: перемещение, замена, восстановление, или дргое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4</xdr:col>
          <xdr:colOff>19050</xdr:colOff>
          <xdr:row>34</xdr:row>
          <xdr:rowOff>57150</xdr:rowOff>
        </xdr:to>
        <xdr:sp macro="" textlink="">
          <xdr:nvSpPr>
            <xdr:cNvPr id="24603" name="Option Button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Корректировка отклонений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30</xdr:row>
          <xdr:rowOff>9525</xdr:rowOff>
        </xdr:from>
        <xdr:to>
          <xdr:col>9</xdr:col>
          <xdr:colOff>514350</xdr:colOff>
          <xdr:row>31</xdr:row>
          <xdr:rowOff>66675</xdr:rowOff>
        </xdr:to>
        <xdr:sp macro="" textlink="">
          <xdr:nvSpPr>
            <xdr:cNvPr id="24604" name="Option Button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Изменение в дополнительных устройствах или материалах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31</xdr:row>
          <xdr:rowOff>0</xdr:rowOff>
        </xdr:from>
        <xdr:to>
          <xdr:col>9</xdr:col>
          <xdr:colOff>228600</xdr:colOff>
          <xdr:row>32</xdr:row>
          <xdr:rowOff>57150</xdr:rowOff>
        </xdr:to>
        <xdr:sp macro="" textlink="">
          <xdr:nvSpPr>
            <xdr:cNvPr id="24605" name="Option Button 29" hidden="1">
              <a:extLst>
                <a:ext uri="{63B3BB69-23CF-44E3-9099-C40C66FF867C}">
                  <a14:compatExt spid="_x0000_s246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Изменение субподрядчика или источника материала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32</xdr:row>
          <xdr:rowOff>0</xdr:rowOff>
        </xdr:from>
        <xdr:to>
          <xdr:col>9</xdr:col>
          <xdr:colOff>228600</xdr:colOff>
          <xdr:row>33</xdr:row>
          <xdr:rowOff>57150</xdr:rowOff>
        </xdr:to>
        <xdr:sp macro="" textlink="">
          <xdr:nvSpPr>
            <xdr:cNvPr id="24606" name="Option Button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Изменения в технологическом процессе для части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33</xdr:row>
          <xdr:rowOff>0</xdr:rowOff>
        </xdr:from>
        <xdr:to>
          <xdr:col>9</xdr:col>
          <xdr:colOff>228600</xdr:colOff>
          <xdr:row>34</xdr:row>
          <xdr:rowOff>57150</xdr:rowOff>
        </xdr:to>
        <xdr:sp macro="" textlink="">
          <xdr:nvSpPr>
            <xdr:cNvPr id="24607" name="Option Button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Часть произведена в дополнительном месторасположении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46</xdr:row>
          <xdr:rowOff>9525</xdr:rowOff>
        </xdr:from>
        <xdr:to>
          <xdr:col>2</xdr:col>
          <xdr:colOff>342900</xdr:colOff>
          <xdr:row>47</xdr:row>
          <xdr:rowOff>95250</xdr:rowOff>
        </xdr:to>
        <xdr:sp macro="" textlink="">
          <xdr:nvSpPr>
            <xdr:cNvPr id="24609" name="Check Box 33" hidden="1">
              <a:extLst>
                <a:ext uri="{63B3BB69-23CF-44E3-9099-C40C66FF867C}">
                  <a14:compatExt spid="_x0000_s2460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изменений геом. параметров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xdr:row>
          <xdr:rowOff>76200</xdr:rowOff>
        </xdr:from>
        <xdr:to>
          <xdr:col>1</xdr:col>
          <xdr:colOff>266700</xdr:colOff>
          <xdr:row>8</xdr:row>
          <xdr:rowOff>9525</xdr:rowOff>
        </xdr:to>
        <xdr:sp macro="" textlink="">
          <xdr:nvSpPr>
            <xdr:cNvPr id="24620" name="Option Button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6</xdr:row>
          <xdr:rowOff>76200</xdr:rowOff>
        </xdr:from>
        <xdr:to>
          <xdr:col>2</xdr:col>
          <xdr:colOff>361950</xdr:colOff>
          <xdr:row>8</xdr:row>
          <xdr:rowOff>9525</xdr:rowOff>
        </xdr:to>
        <xdr:sp macro="" textlink="">
          <xdr:nvSpPr>
            <xdr:cNvPr id="24621" name="Option Button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24</xdr:row>
          <xdr:rowOff>38100</xdr:rowOff>
        </xdr:from>
        <xdr:to>
          <xdr:col>7</xdr:col>
          <xdr:colOff>257175</xdr:colOff>
          <xdr:row>25</xdr:row>
          <xdr:rowOff>104775</xdr:rowOff>
        </xdr:to>
        <xdr:sp macro="" textlink="">
          <xdr:nvSpPr>
            <xdr:cNvPr id="24622" name="Check Box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24</xdr:row>
          <xdr:rowOff>38100</xdr:rowOff>
        </xdr:from>
        <xdr:to>
          <xdr:col>9</xdr:col>
          <xdr:colOff>95250</xdr:colOff>
          <xdr:row>25</xdr:row>
          <xdr:rowOff>104775</xdr:rowOff>
        </xdr:to>
        <xdr:sp macro="" textlink="">
          <xdr:nvSpPr>
            <xdr:cNvPr id="24623" name="Check Box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25</xdr:row>
          <xdr:rowOff>123825</xdr:rowOff>
        </xdr:from>
        <xdr:to>
          <xdr:col>7</xdr:col>
          <xdr:colOff>247650</xdr:colOff>
          <xdr:row>27</xdr:row>
          <xdr:rowOff>28575</xdr:rowOff>
        </xdr:to>
        <xdr:sp macro="" textlink="">
          <xdr:nvSpPr>
            <xdr:cNvPr id="24624" name="Check Box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Да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25</xdr:row>
          <xdr:rowOff>95250</xdr:rowOff>
        </xdr:from>
        <xdr:to>
          <xdr:col>9</xdr:col>
          <xdr:colOff>95250</xdr:colOff>
          <xdr:row>27</xdr:row>
          <xdr:rowOff>0</xdr:rowOff>
        </xdr:to>
        <xdr:sp macro="" textlink="">
          <xdr:nvSpPr>
            <xdr:cNvPr id="24625" name="Check Box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Нет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4</xdr:col>
          <xdr:colOff>19050</xdr:colOff>
          <xdr:row>35</xdr:row>
          <xdr:rowOff>57150</xdr:rowOff>
        </xdr:to>
        <xdr:sp macro="" textlink="">
          <xdr:nvSpPr>
            <xdr:cNvPr id="24627" name="Option Button 51" hidden="1">
              <a:extLst>
                <a:ext uri="{63B3BB69-23CF-44E3-9099-C40C66FF867C}">
                  <a14:compatExt spid="_x0000_s246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Оснастка не использовалась более чем 1 год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0</xdr:rowOff>
        </xdr:from>
        <xdr:to>
          <xdr:col>9</xdr:col>
          <xdr:colOff>228600</xdr:colOff>
          <xdr:row>35</xdr:row>
          <xdr:rowOff>57150</xdr:rowOff>
        </xdr:to>
        <xdr:sp macro="" textlink="">
          <xdr:nvSpPr>
            <xdr:cNvPr id="24628" name="Option Button 52" hidden="1">
              <a:extLst>
                <a:ext uri="{63B3BB69-23CF-44E3-9099-C40C66FF867C}">
                  <a14:compatExt spid="_x0000_s246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Другое - опишите, пожалуйста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62</xdr:row>
          <xdr:rowOff>76200</xdr:rowOff>
        </xdr:from>
        <xdr:to>
          <xdr:col>7</xdr:col>
          <xdr:colOff>657225</xdr:colOff>
          <xdr:row>63</xdr:row>
          <xdr:rowOff>133350</xdr:rowOff>
        </xdr:to>
        <xdr:sp macro="" textlink="">
          <xdr:nvSpPr>
            <xdr:cNvPr id="24629" name="Option Button 53" hidden="1">
              <a:extLst>
                <a:ext uri="{63B3BB69-23CF-44E3-9099-C40C66FF867C}">
                  <a14:compatExt spid="_x0000_s246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Одобрено</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62</xdr:row>
          <xdr:rowOff>66675</xdr:rowOff>
        </xdr:from>
        <xdr:to>
          <xdr:col>9</xdr:col>
          <xdr:colOff>485775</xdr:colOff>
          <xdr:row>63</xdr:row>
          <xdr:rowOff>123825</xdr:rowOff>
        </xdr:to>
        <xdr:sp macro="" textlink="">
          <xdr:nvSpPr>
            <xdr:cNvPr id="24630" name="Option Button 54" hidden="1">
              <a:extLst>
                <a:ext uri="{63B3BB69-23CF-44E3-9099-C40C66FF867C}">
                  <a14:compatExt spid="_x0000_s246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Отклонено</a:t>
              </a:r>
            </a:p>
          </xdr:txBody>
        </xdr:sp>
        <xdr:clientData/>
      </xdr:twoCellAnchor>
    </mc:Choice>
    <mc:Fallback/>
  </mc:AlternateContent>
  <xdr:twoCellAnchor editAs="oneCell">
    <xdr:from>
      <xdr:col>0</xdr:col>
      <xdr:colOff>1</xdr:colOff>
      <xdr:row>0</xdr:row>
      <xdr:rowOff>1</xdr:rowOff>
    </xdr:from>
    <xdr:to>
      <xdr:col>1</xdr:col>
      <xdr:colOff>600076</xdr:colOff>
      <xdr:row>1</xdr:row>
      <xdr:rowOff>85726</xdr:rowOff>
    </xdr:to>
    <xdr:pic>
      <xdr:nvPicPr>
        <xdr:cNvPr id="38" name="image1.png" descr="cid:image001.png@01D4A8DC.AF694410"/>
        <xdr:cNvPicPr/>
      </xdr:nvPicPr>
      <xdr:blipFill>
        <a:blip xmlns:r="http://schemas.openxmlformats.org/officeDocument/2006/relationships" r:embed="rId1"/>
        <a:srcRect/>
        <a:stretch>
          <a:fillRect/>
        </a:stretch>
      </xdr:blipFill>
      <xdr:spPr>
        <a:xfrm>
          <a:off x="1" y="1"/>
          <a:ext cx="1314450" cy="342900"/>
        </a:xfrm>
        <a:prstGeom prst="rect">
          <a:avLst/>
        </a:prstGeom>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1085850</xdr:colOff>
      <xdr:row>0</xdr:row>
      <xdr:rowOff>0</xdr:rowOff>
    </xdr:from>
    <xdr:to>
      <xdr:col>3</xdr:col>
      <xdr:colOff>1466850</xdr:colOff>
      <xdr:row>2</xdr:row>
      <xdr:rowOff>95250</xdr:rowOff>
    </xdr:to>
    <xdr:sp macro="" textlink="">
      <xdr:nvSpPr>
        <xdr:cNvPr id="26625" name="Text 2"/>
        <xdr:cNvSpPr txBox="1">
          <a:spLocks noChangeArrowheads="1"/>
        </xdr:cNvSpPr>
      </xdr:nvSpPr>
      <xdr:spPr bwMode="auto">
        <a:xfrm>
          <a:off x="1752600" y="0"/>
          <a:ext cx="30003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7432" rIns="36576" bIns="0" anchor="t" upright="1"/>
        <a:lstStyle/>
        <a:p>
          <a:pPr algn="ctr" rtl="0">
            <a:defRPr sz="1000"/>
          </a:pPr>
          <a:endParaRPr lang="ru-RU" sz="1000" b="0" i="0" u="none" strike="noStrike" baseline="0">
            <a:solidFill>
              <a:srgbClr val="000000"/>
            </a:solidFill>
            <a:latin typeface="Arial"/>
            <a:cs typeface="Arial"/>
          </a:endParaRPr>
        </a:p>
        <a:p>
          <a:pPr algn="ctr" rtl="0">
            <a:defRPr sz="1000"/>
          </a:pPr>
          <a:r>
            <a:rPr lang="ru-RU" sz="1000" b="1" i="0" u="none" strike="noStrike" baseline="0">
              <a:solidFill>
                <a:srgbClr val="000000"/>
              </a:solidFill>
              <a:latin typeface="Arial"/>
              <a:cs typeface="Arial"/>
            </a:rPr>
            <a:t>Результаты испытания материалов</a:t>
          </a:r>
        </a:p>
        <a:p>
          <a:pPr algn="ctr" rtl="0">
            <a:defRPr sz="1000"/>
          </a:pPr>
          <a:endParaRPr lang="ru-RU" sz="1000" b="1" i="0" u="none" strike="noStrike" baseline="0">
            <a:solidFill>
              <a:srgbClr val="000000"/>
            </a:solidFill>
            <a:latin typeface="Arial"/>
            <a:cs typeface="Arial"/>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xdr:row>
          <xdr:rowOff>47625</xdr:rowOff>
        </xdr:from>
        <xdr:to>
          <xdr:col>10</xdr:col>
          <xdr:colOff>228600</xdr:colOff>
          <xdr:row>11</xdr:row>
          <xdr:rowOff>123825</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РУЧ. ПО ПРЕДСТ. ЧАСТИ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47625</xdr:rowOff>
        </xdr:from>
        <xdr:to>
          <xdr:col>7</xdr:col>
          <xdr:colOff>57150</xdr:colOff>
          <xdr:row>13</xdr:row>
          <xdr:rowOff>95250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ПРЕ ТЕКСТУРА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xdr:row>
          <xdr:rowOff>38100</xdr:rowOff>
        </xdr:from>
        <xdr:to>
          <xdr:col>16</xdr:col>
          <xdr:colOff>114300</xdr:colOff>
          <xdr:row>11</xdr:row>
          <xdr:rowOff>114300</xdr:rowOff>
        </xdr:to>
        <xdr:sp macro="" textlink="">
          <xdr:nvSpPr>
            <xdr:cNvPr id="25603" name="Check Box 3" hidden="1">
              <a:extLst>
                <a:ext uri="{63B3BB69-23CF-44E3-9099-C40C66FF867C}">
                  <a14:compatExt spid="_x0000_s256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СПЕЦИАЛЬНЫЕ ОБРАЗЕЦЫ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38100</xdr:rowOff>
        </xdr:from>
        <xdr:to>
          <xdr:col>19</xdr:col>
          <xdr:colOff>38100</xdr:colOff>
          <xdr:row>13</xdr:row>
          <xdr:rowOff>95250</xdr:rowOff>
        </xdr:to>
        <xdr:sp macro="" textlink="">
          <xdr:nvSpPr>
            <xdr:cNvPr id="25604" name="Check Box 4" hidden="1">
              <a:extLst>
                <a:ext uri="{63B3BB69-23CF-44E3-9099-C40C66FF867C}">
                  <a14:compatExt spid="_x0000_s256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ПЕРВАЯ ПРОИЗВОДСТВЕННАЯ ПОСТАВКА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38100</xdr:rowOff>
        </xdr:from>
        <xdr:to>
          <xdr:col>24</xdr:col>
          <xdr:colOff>171450</xdr:colOff>
          <xdr:row>11</xdr:row>
          <xdr:rowOff>114300</xdr:rowOff>
        </xdr:to>
        <xdr:sp macro="" textlink="">
          <xdr:nvSpPr>
            <xdr:cNvPr id="25605" name="Check Box 5" hidden="1">
              <a:extLst>
                <a:ext uri="{63B3BB69-23CF-44E3-9099-C40C66FF867C}">
                  <a14:compatExt spid="_x0000_s256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ПОВТОРНОЕ ПРЕДСТАВЛЕНИЕ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38100</xdr:rowOff>
        </xdr:from>
        <xdr:to>
          <xdr:col>23</xdr:col>
          <xdr:colOff>190500</xdr:colOff>
          <xdr:row>13</xdr:row>
          <xdr:rowOff>95250</xdr:rowOff>
        </xdr:to>
        <xdr:sp macro="" textlink="">
          <xdr:nvSpPr>
            <xdr:cNvPr id="25606" name="Check Box 6" hidden="1">
              <a:extLst>
                <a:ext uri="{63B3BB69-23CF-44E3-9099-C40C66FF867C}">
                  <a14:compatExt spid="_x0000_s256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ИНЖЕНЕРНОЕ ИЗМЕНЕНИЕ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10</xdr:row>
          <xdr:rowOff>38100</xdr:rowOff>
        </xdr:from>
        <xdr:to>
          <xdr:col>27</xdr:col>
          <xdr:colOff>352425</xdr:colOff>
          <xdr:row>11</xdr:row>
          <xdr:rowOff>114300</xdr:rowOff>
        </xdr:to>
        <xdr:sp macro="" textlink="">
          <xdr:nvSpPr>
            <xdr:cNvPr id="25607" name="Check Box 7" hidden="1">
              <a:extLst>
                <a:ext uri="{63B3BB69-23CF-44E3-9099-C40C66FF867C}">
                  <a14:compatExt spid="_x0000_s256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ДРУГОЕ</a:t>
              </a:r>
            </a:p>
          </xdr:txBody>
        </xdr:sp>
        <xdr:clientData/>
      </xdr:twoCellAnchor>
    </mc:Choice>
    <mc:Fallback/>
  </mc:AlternateContent>
  <xdr:twoCellAnchor>
    <xdr:from>
      <xdr:col>11</xdr:col>
      <xdr:colOff>0</xdr:colOff>
      <xdr:row>0</xdr:row>
      <xdr:rowOff>0</xdr:rowOff>
    </xdr:from>
    <xdr:to>
      <xdr:col>22</xdr:col>
      <xdr:colOff>0</xdr:colOff>
      <xdr:row>1</xdr:row>
      <xdr:rowOff>0</xdr:rowOff>
    </xdr:to>
    <xdr:sp macro="" textlink="">
      <xdr:nvSpPr>
        <xdr:cNvPr id="25608" name="Rectangle 8"/>
        <xdr:cNvSpPr>
          <a:spLocks noChangeArrowheads="1"/>
        </xdr:cNvSpPr>
      </xdr:nvSpPr>
      <xdr:spPr bwMode="auto">
        <a:xfrm>
          <a:off x="3133725" y="0"/>
          <a:ext cx="3286125" cy="219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28575</xdr:colOff>
      <xdr:row>69</xdr:row>
      <xdr:rowOff>85725</xdr:rowOff>
    </xdr:from>
    <xdr:to>
      <xdr:col>16</xdr:col>
      <xdr:colOff>495300</xdr:colOff>
      <xdr:row>85</xdr:row>
      <xdr:rowOff>0</xdr:rowOff>
    </xdr:to>
    <xdr:graphicFrame macro="">
      <xdr:nvGraphicFramePr>
        <xdr:cNvPr id="2"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89</xdr:row>
      <xdr:rowOff>114300</xdr:rowOff>
    </xdr:from>
    <xdr:to>
      <xdr:col>5</xdr:col>
      <xdr:colOff>381000</xdr:colOff>
      <xdr:row>105</xdr:row>
      <xdr:rowOff>9525</xdr:rowOff>
    </xdr:to>
    <xdr:graphicFrame macro="">
      <xdr:nvGraphicFramePr>
        <xdr:cNvPr id="3"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428625</xdr:colOff>
      <xdr:row>89</xdr:row>
      <xdr:rowOff>114300</xdr:rowOff>
    </xdr:from>
    <xdr:to>
      <xdr:col>11</xdr:col>
      <xdr:colOff>76200</xdr:colOff>
      <xdr:row>105</xdr:row>
      <xdr:rowOff>9525</xdr:rowOff>
    </xdr:to>
    <xdr:graphicFrame macro="">
      <xdr:nvGraphicFramePr>
        <xdr:cNvPr id="4"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114300</xdr:colOff>
      <xdr:row>89</xdr:row>
      <xdr:rowOff>114300</xdr:rowOff>
    </xdr:from>
    <xdr:to>
      <xdr:col>16</xdr:col>
      <xdr:colOff>381000</xdr:colOff>
      <xdr:row>105</xdr:row>
      <xdr:rowOff>9525</xdr:rowOff>
    </xdr:to>
    <xdr:graphicFrame macro="">
      <xdr:nvGraphicFramePr>
        <xdr:cNvPr id="5"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105</xdr:row>
      <xdr:rowOff>123825</xdr:rowOff>
    </xdr:from>
    <xdr:to>
      <xdr:col>5</xdr:col>
      <xdr:colOff>381000</xdr:colOff>
      <xdr:row>121</xdr:row>
      <xdr:rowOff>19050</xdr:rowOff>
    </xdr:to>
    <xdr:graphicFrame macro="">
      <xdr:nvGraphicFramePr>
        <xdr:cNvPr id="6"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447675</xdr:colOff>
      <xdr:row>105</xdr:row>
      <xdr:rowOff>123825</xdr:rowOff>
    </xdr:from>
    <xdr:to>
      <xdr:col>11</xdr:col>
      <xdr:colOff>85725</xdr:colOff>
      <xdr:row>121</xdr:row>
      <xdr:rowOff>19050</xdr:rowOff>
    </xdr:to>
    <xdr:graphicFrame macro="">
      <xdr:nvGraphicFramePr>
        <xdr:cNvPr id="7"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142875</xdr:colOff>
      <xdr:row>105</xdr:row>
      <xdr:rowOff>123825</xdr:rowOff>
    </xdr:from>
    <xdr:to>
      <xdr:col>16</xdr:col>
      <xdr:colOff>381000</xdr:colOff>
      <xdr:row>121</xdr:row>
      <xdr:rowOff>19050</xdr:rowOff>
    </xdr:to>
    <xdr:graphicFrame macro="">
      <xdr:nvGraphicFramePr>
        <xdr:cNvPr id="8"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126</xdr:row>
      <xdr:rowOff>76200</xdr:rowOff>
    </xdr:from>
    <xdr:to>
      <xdr:col>5</xdr:col>
      <xdr:colOff>409575</xdr:colOff>
      <xdr:row>142</xdr:row>
      <xdr:rowOff>133350</xdr:rowOff>
    </xdr:to>
    <xdr:graphicFrame macro="">
      <xdr:nvGraphicFramePr>
        <xdr:cNvPr id="9"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457200</xdr:colOff>
      <xdr:row>126</xdr:row>
      <xdr:rowOff>76200</xdr:rowOff>
    </xdr:from>
    <xdr:to>
      <xdr:col>11</xdr:col>
      <xdr:colOff>142875</xdr:colOff>
      <xdr:row>142</xdr:row>
      <xdr:rowOff>133350</xdr:rowOff>
    </xdr:to>
    <xdr:graphicFrame macro="">
      <xdr:nvGraphicFramePr>
        <xdr:cNvPr id="10"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190500</xdr:colOff>
      <xdr:row>126</xdr:row>
      <xdr:rowOff>76200</xdr:rowOff>
    </xdr:from>
    <xdr:to>
      <xdr:col>16</xdr:col>
      <xdr:colOff>381000</xdr:colOff>
      <xdr:row>142</xdr:row>
      <xdr:rowOff>133350</xdr:rowOff>
    </xdr:to>
    <xdr:graphicFrame macro="">
      <xdr:nvGraphicFramePr>
        <xdr:cNvPr id="11"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xdr:from>
          <xdr:col>0</xdr:col>
          <xdr:colOff>200025</xdr:colOff>
          <xdr:row>37</xdr:row>
          <xdr:rowOff>9525</xdr:rowOff>
        </xdr:from>
        <xdr:to>
          <xdr:col>0</xdr:col>
          <xdr:colOff>371475</xdr:colOff>
          <xdr:row>37</xdr:row>
          <xdr:rowOff>228600</xdr:rowOff>
        </xdr:to>
        <xdr:sp macro="" textlink="">
          <xdr:nvSpPr>
            <xdr:cNvPr id="45067" name="Object 11" hidden="1">
              <a:extLst>
                <a:ext uri="{63B3BB69-23CF-44E3-9099-C40C66FF867C}">
                  <a14:compatExt spid="_x0000_s450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39</xdr:row>
          <xdr:rowOff>9525</xdr:rowOff>
        </xdr:from>
        <xdr:to>
          <xdr:col>0</xdr:col>
          <xdr:colOff>485775</xdr:colOff>
          <xdr:row>39</xdr:row>
          <xdr:rowOff>238125</xdr:rowOff>
        </xdr:to>
        <xdr:sp macro="" textlink="">
          <xdr:nvSpPr>
            <xdr:cNvPr id="45068" name="Object 12" hidden="1">
              <a:extLst>
                <a:ext uri="{63B3BB69-23CF-44E3-9099-C40C66FF867C}">
                  <a14:compatExt spid="_x0000_s450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43</xdr:row>
          <xdr:rowOff>9525</xdr:rowOff>
        </xdr:from>
        <xdr:to>
          <xdr:col>0</xdr:col>
          <xdr:colOff>390525</xdr:colOff>
          <xdr:row>44</xdr:row>
          <xdr:rowOff>9525</xdr:rowOff>
        </xdr:to>
        <xdr:sp macro="" textlink="">
          <xdr:nvSpPr>
            <xdr:cNvPr id="45069" name="Object 13" hidden="1">
              <a:extLst>
                <a:ext uri="{63B3BB69-23CF-44E3-9099-C40C66FF867C}">
                  <a14:compatExt spid="_x0000_s450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200025</xdr:colOff>
          <xdr:row>22</xdr:row>
          <xdr:rowOff>9525</xdr:rowOff>
        </xdr:from>
        <xdr:to>
          <xdr:col>1</xdr:col>
          <xdr:colOff>371475</xdr:colOff>
          <xdr:row>22</xdr:row>
          <xdr:rowOff>228600</xdr:rowOff>
        </xdr:to>
        <xdr:sp macro="" textlink="">
          <xdr:nvSpPr>
            <xdr:cNvPr id="45070" name="Object 14" hidden="1">
              <a:extLst>
                <a:ext uri="{63B3BB69-23CF-44E3-9099-C40C66FF867C}">
                  <a14:compatExt spid="_x0000_s450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23</xdr:row>
          <xdr:rowOff>9525</xdr:rowOff>
        </xdr:from>
        <xdr:to>
          <xdr:col>1</xdr:col>
          <xdr:colOff>485775</xdr:colOff>
          <xdr:row>24</xdr:row>
          <xdr:rowOff>0</xdr:rowOff>
        </xdr:to>
        <xdr:sp macro="" textlink="">
          <xdr:nvSpPr>
            <xdr:cNvPr id="45071" name="Object 15" hidden="1">
              <a:extLst>
                <a:ext uri="{63B3BB69-23CF-44E3-9099-C40C66FF867C}">
                  <a14:compatExt spid="_x0000_s450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24</xdr:row>
          <xdr:rowOff>28575</xdr:rowOff>
        </xdr:from>
        <xdr:to>
          <xdr:col>1</xdr:col>
          <xdr:colOff>485775</xdr:colOff>
          <xdr:row>25</xdr:row>
          <xdr:rowOff>0</xdr:rowOff>
        </xdr:to>
        <xdr:sp macro="" textlink="">
          <xdr:nvSpPr>
            <xdr:cNvPr id="45072" name="Object 16" hidden="1">
              <a:extLst>
                <a:ext uri="{63B3BB69-23CF-44E3-9099-C40C66FF867C}">
                  <a14:compatExt spid="_x0000_s450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21</xdr:row>
          <xdr:rowOff>28575</xdr:rowOff>
        </xdr:from>
        <xdr:to>
          <xdr:col>4</xdr:col>
          <xdr:colOff>352425</xdr:colOff>
          <xdr:row>21</xdr:row>
          <xdr:rowOff>266700</xdr:rowOff>
        </xdr:to>
        <xdr:sp macro="" textlink="">
          <xdr:nvSpPr>
            <xdr:cNvPr id="45073" name="Object 17" hidden="1">
              <a:extLst>
                <a:ext uri="{63B3BB69-23CF-44E3-9099-C40C66FF867C}">
                  <a14:compatExt spid="_x0000_s45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21</xdr:row>
          <xdr:rowOff>28575</xdr:rowOff>
        </xdr:from>
        <xdr:to>
          <xdr:col>9</xdr:col>
          <xdr:colOff>352425</xdr:colOff>
          <xdr:row>22</xdr:row>
          <xdr:rowOff>0</xdr:rowOff>
        </xdr:to>
        <xdr:sp macro="" textlink="">
          <xdr:nvSpPr>
            <xdr:cNvPr id="45074" name="Object 18" hidden="1">
              <a:extLst>
                <a:ext uri="{63B3BB69-23CF-44E3-9099-C40C66FF867C}">
                  <a14:compatExt spid="_x0000_s45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21</xdr:row>
          <xdr:rowOff>28575</xdr:rowOff>
        </xdr:from>
        <xdr:to>
          <xdr:col>14</xdr:col>
          <xdr:colOff>323850</xdr:colOff>
          <xdr:row>22</xdr:row>
          <xdr:rowOff>0</xdr:rowOff>
        </xdr:to>
        <xdr:sp macro="" textlink="">
          <xdr:nvSpPr>
            <xdr:cNvPr id="45075" name="Object 19" hidden="1">
              <a:extLst>
                <a:ext uri="{63B3BB69-23CF-44E3-9099-C40C66FF867C}">
                  <a14:compatExt spid="_x0000_s450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xdr:colOff>
          <xdr:row>21</xdr:row>
          <xdr:rowOff>19050</xdr:rowOff>
        </xdr:from>
        <xdr:to>
          <xdr:col>15</xdr:col>
          <xdr:colOff>333375</xdr:colOff>
          <xdr:row>21</xdr:row>
          <xdr:rowOff>266700</xdr:rowOff>
        </xdr:to>
        <xdr:sp macro="" textlink="">
          <xdr:nvSpPr>
            <xdr:cNvPr id="45076" name="Object 20" hidden="1">
              <a:extLst>
                <a:ext uri="{63B3BB69-23CF-44E3-9099-C40C66FF867C}">
                  <a14:compatExt spid="_x0000_s450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21</xdr:row>
          <xdr:rowOff>38100</xdr:rowOff>
        </xdr:from>
        <xdr:to>
          <xdr:col>10</xdr:col>
          <xdr:colOff>361950</xdr:colOff>
          <xdr:row>22</xdr:row>
          <xdr:rowOff>9525</xdr:rowOff>
        </xdr:to>
        <xdr:sp macro="" textlink="">
          <xdr:nvSpPr>
            <xdr:cNvPr id="45077" name="Object 21" hidden="1">
              <a:extLst>
                <a:ext uri="{63B3BB69-23CF-44E3-9099-C40C66FF867C}">
                  <a14:compatExt spid="_x0000_s450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171450</xdr:colOff>
          <xdr:row>21</xdr:row>
          <xdr:rowOff>19050</xdr:rowOff>
        </xdr:from>
        <xdr:to>
          <xdr:col>16</xdr:col>
          <xdr:colOff>381000</xdr:colOff>
          <xdr:row>21</xdr:row>
          <xdr:rowOff>266700</xdr:rowOff>
        </xdr:to>
        <xdr:sp macro="" textlink="">
          <xdr:nvSpPr>
            <xdr:cNvPr id="45078" name="Object 22" hidden="1">
              <a:extLst>
                <a:ext uri="{63B3BB69-23CF-44E3-9099-C40C66FF867C}">
                  <a14:compatExt spid="_x0000_s450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8</xdr:row>
          <xdr:rowOff>47625</xdr:rowOff>
        </xdr:from>
        <xdr:to>
          <xdr:col>4</xdr:col>
          <xdr:colOff>333375</xdr:colOff>
          <xdr:row>8</xdr:row>
          <xdr:rowOff>219075</xdr:rowOff>
        </xdr:to>
        <xdr:sp macro="" textlink="">
          <xdr:nvSpPr>
            <xdr:cNvPr id="45079" name="Object 23" hidden="1">
              <a:extLst>
                <a:ext uri="{63B3BB69-23CF-44E3-9099-C40C66FF867C}">
                  <a14:compatExt spid="_x0000_s450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180975</xdr:colOff>
          <xdr:row>8</xdr:row>
          <xdr:rowOff>47625</xdr:rowOff>
        </xdr:from>
        <xdr:to>
          <xdr:col>9</xdr:col>
          <xdr:colOff>333375</xdr:colOff>
          <xdr:row>8</xdr:row>
          <xdr:rowOff>219075</xdr:rowOff>
        </xdr:to>
        <xdr:sp macro="" textlink="">
          <xdr:nvSpPr>
            <xdr:cNvPr id="45080" name="Object 24" hidden="1">
              <a:extLst>
                <a:ext uri="{63B3BB69-23CF-44E3-9099-C40C66FF867C}">
                  <a14:compatExt spid="_x0000_s450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180975</xdr:colOff>
          <xdr:row>8</xdr:row>
          <xdr:rowOff>47625</xdr:rowOff>
        </xdr:from>
        <xdr:to>
          <xdr:col>14</xdr:col>
          <xdr:colOff>333375</xdr:colOff>
          <xdr:row>8</xdr:row>
          <xdr:rowOff>219075</xdr:rowOff>
        </xdr:to>
        <xdr:sp macro="" textlink="">
          <xdr:nvSpPr>
            <xdr:cNvPr id="45081" name="Object 25" hidden="1">
              <a:extLst>
                <a:ext uri="{63B3BB69-23CF-44E3-9099-C40C66FF867C}">
                  <a14:compatExt spid="_x0000_s450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8</xdr:row>
          <xdr:rowOff>28575</xdr:rowOff>
        </xdr:from>
        <xdr:to>
          <xdr:col>5</xdr:col>
          <xdr:colOff>371475</xdr:colOff>
          <xdr:row>9</xdr:row>
          <xdr:rowOff>0</xdr:rowOff>
        </xdr:to>
        <xdr:sp macro="" textlink="">
          <xdr:nvSpPr>
            <xdr:cNvPr id="45082" name="Object 26" hidden="1">
              <a:extLst>
                <a:ext uri="{63B3BB69-23CF-44E3-9099-C40C66FF867C}">
                  <a14:compatExt spid="_x0000_s450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8</xdr:row>
          <xdr:rowOff>28575</xdr:rowOff>
        </xdr:from>
        <xdr:to>
          <xdr:col>10</xdr:col>
          <xdr:colOff>371475</xdr:colOff>
          <xdr:row>9</xdr:row>
          <xdr:rowOff>0</xdr:rowOff>
        </xdr:to>
        <xdr:sp macro="" textlink="">
          <xdr:nvSpPr>
            <xdr:cNvPr id="45083" name="Object 27" hidden="1">
              <a:extLst>
                <a:ext uri="{63B3BB69-23CF-44E3-9099-C40C66FF867C}">
                  <a14:compatExt spid="_x0000_s450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8</xdr:row>
          <xdr:rowOff>28575</xdr:rowOff>
        </xdr:from>
        <xdr:to>
          <xdr:col>16</xdr:col>
          <xdr:colOff>381000</xdr:colOff>
          <xdr:row>9</xdr:row>
          <xdr:rowOff>0</xdr:rowOff>
        </xdr:to>
        <xdr:sp macro="" textlink="">
          <xdr:nvSpPr>
            <xdr:cNvPr id="45084" name="Object 28" hidden="1">
              <a:extLst>
                <a:ext uri="{63B3BB69-23CF-44E3-9099-C40C66FF867C}">
                  <a14:compatExt spid="_x0000_s450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22</xdr:row>
          <xdr:rowOff>19050</xdr:rowOff>
        </xdr:from>
        <xdr:to>
          <xdr:col>7</xdr:col>
          <xdr:colOff>19050</xdr:colOff>
          <xdr:row>23</xdr:row>
          <xdr:rowOff>0</xdr:rowOff>
        </xdr:to>
        <xdr:sp macro="" textlink="">
          <xdr:nvSpPr>
            <xdr:cNvPr id="45085" name="Object 29" hidden="1">
              <a:extLst>
                <a:ext uri="{63B3BB69-23CF-44E3-9099-C40C66FF867C}">
                  <a14:compatExt spid="_x0000_s450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23</xdr:row>
          <xdr:rowOff>19050</xdr:rowOff>
        </xdr:from>
        <xdr:to>
          <xdr:col>8</xdr:col>
          <xdr:colOff>495300</xdr:colOff>
          <xdr:row>24</xdr:row>
          <xdr:rowOff>0</xdr:rowOff>
        </xdr:to>
        <xdr:sp macro="" textlink="">
          <xdr:nvSpPr>
            <xdr:cNvPr id="45086" name="Object 30" hidden="1">
              <a:extLst>
                <a:ext uri="{63B3BB69-23CF-44E3-9099-C40C66FF867C}">
                  <a14:compatExt spid="_x0000_s450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24</xdr:row>
          <xdr:rowOff>9525</xdr:rowOff>
        </xdr:from>
        <xdr:to>
          <xdr:col>6</xdr:col>
          <xdr:colOff>9525</xdr:colOff>
          <xdr:row>25</xdr:row>
          <xdr:rowOff>0</xdr:rowOff>
        </xdr:to>
        <xdr:sp macro="" textlink="">
          <xdr:nvSpPr>
            <xdr:cNvPr id="45087" name="Object 31" hidden="1">
              <a:extLst>
                <a:ext uri="{63B3BB69-23CF-44E3-9099-C40C66FF867C}">
                  <a14:compatExt spid="_x0000_s450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22</xdr:row>
          <xdr:rowOff>28575</xdr:rowOff>
        </xdr:from>
        <xdr:to>
          <xdr:col>15</xdr:col>
          <xdr:colOff>9525</xdr:colOff>
          <xdr:row>23</xdr:row>
          <xdr:rowOff>0</xdr:rowOff>
        </xdr:to>
        <xdr:sp macro="" textlink="">
          <xdr:nvSpPr>
            <xdr:cNvPr id="45088" name="Object 32" hidden="1">
              <a:extLst>
                <a:ext uri="{63B3BB69-23CF-44E3-9099-C40C66FF867C}">
                  <a14:compatExt spid="_x0000_s450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23</xdr:row>
          <xdr:rowOff>9525</xdr:rowOff>
        </xdr:from>
        <xdr:to>
          <xdr:col>14</xdr:col>
          <xdr:colOff>323850</xdr:colOff>
          <xdr:row>24</xdr:row>
          <xdr:rowOff>0</xdr:rowOff>
        </xdr:to>
        <xdr:sp macro="" textlink="">
          <xdr:nvSpPr>
            <xdr:cNvPr id="45089" name="Object 33" hidden="1">
              <a:extLst>
                <a:ext uri="{63B3BB69-23CF-44E3-9099-C40C66FF867C}">
                  <a14:compatExt spid="_x0000_s450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24</xdr:row>
          <xdr:rowOff>19050</xdr:rowOff>
        </xdr:from>
        <xdr:to>
          <xdr:col>14</xdr:col>
          <xdr:colOff>419100</xdr:colOff>
          <xdr:row>25</xdr:row>
          <xdr:rowOff>0</xdr:rowOff>
        </xdr:to>
        <xdr:sp macro="" textlink="">
          <xdr:nvSpPr>
            <xdr:cNvPr id="45090" name="Object 34" hidden="1">
              <a:extLst>
                <a:ext uri="{63B3BB69-23CF-44E3-9099-C40C66FF867C}">
                  <a14:compatExt spid="_x0000_s450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19050</xdr:colOff>
          <xdr:row>22</xdr:row>
          <xdr:rowOff>28575</xdr:rowOff>
        </xdr:from>
        <xdr:to>
          <xdr:col>16</xdr:col>
          <xdr:colOff>485775</xdr:colOff>
          <xdr:row>23</xdr:row>
          <xdr:rowOff>0</xdr:rowOff>
        </xdr:to>
        <xdr:sp macro="" textlink="">
          <xdr:nvSpPr>
            <xdr:cNvPr id="45091" name="Object 35" hidden="1">
              <a:extLst>
                <a:ext uri="{63B3BB69-23CF-44E3-9099-C40C66FF867C}">
                  <a14:compatExt spid="_x0000_s450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23</xdr:row>
          <xdr:rowOff>19050</xdr:rowOff>
        </xdr:from>
        <xdr:to>
          <xdr:col>16</xdr:col>
          <xdr:colOff>533400</xdr:colOff>
          <xdr:row>24</xdr:row>
          <xdr:rowOff>0</xdr:rowOff>
        </xdr:to>
        <xdr:sp macro="" textlink="">
          <xdr:nvSpPr>
            <xdr:cNvPr id="45092" name="Object 36" hidden="1">
              <a:extLst>
                <a:ext uri="{63B3BB69-23CF-44E3-9099-C40C66FF867C}">
                  <a14:compatExt spid="_x0000_s450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19050</xdr:colOff>
          <xdr:row>24</xdr:row>
          <xdr:rowOff>28575</xdr:rowOff>
        </xdr:from>
        <xdr:to>
          <xdr:col>16</xdr:col>
          <xdr:colOff>514350</xdr:colOff>
          <xdr:row>25</xdr:row>
          <xdr:rowOff>0</xdr:rowOff>
        </xdr:to>
        <xdr:sp macro="" textlink="">
          <xdr:nvSpPr>
            <xdr:cNvPr id="45093" name="Object 37" hidden="1">
              <a:extLst>
                <a:ext uri="{63B3BB69-23CF-44E3-9099-C40C66FF867C}">
                  <a14:compatExt spid="_x0000_s450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37</xdr:row>
          <xdr:rowOff>0</xdr:rowOff>
        </xdr:from>
        <xdr:to>
          <xdr:col>5</xdr:col>
          <xdr:colOff>285750</xdr:colOff>
          <xdr:row>38</xdr:row>
          <xdr:rowOff>9525</xdr:rowOff>
        </xdr:to>
        <xdr:sp macro="" textlink="">
          <xdr:nvSpPr>
            <xdr:cNvPr id="45094" name="Object 38" hidden="1">
              <a:extLst>
                <a:ext uri="{63B3BB69-23CF-44E3-9099-C40C66FF867C}">
                  <a14:compatExt spid="_x0000_s450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41</xdr:row>
          <xdr:rowOff>0</xdr:rowOff>
        </xdr:from>
        <xdr:to>
          <xdr:col>7</xdr:col>
          <xdr:colOff>19050</xdr:colOff>
          <xdr:row>41</xdr:row>
          <xdr:rowOff>228600</xdr:rowOff>
        </xdr:to>
        <xdr:sp macro="" textlink="">
          <xdr:nvSpPr>
            <xdr:cNvPr id="45095" name="Object 39" hidden="1">
              <a:extLst>
                <a:ext uri="{63B3BB69-23CF-44E3-9099-C40C66FF867C}">
                  <a14:compatExt spid="_x0000_s450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43</xdr:row>
          <xdr:rowOff>19050</xdr:rowOff>
        </xdr:from>
        <xdr:to>
          <xdr:col>5</xdr:col>
          <xdr:colOff>361950</xdr:colOff>
          <xdr:row>44</xdr:row>
          <xdr:rowOff>9525</xdr:rowOff>
        </xdr:to>
        <xdr:sp macro="" textlink="">
          <xdr:nvSpPr>
            <xdr:cNvPr id="45096" name="Object 40" hidden="1">
              <a:extLst>
                <a:ext uri="{63B3BB69-23CF-44E3-9099-C40C66FF867C}">
                  <a14:compatExt spid="_x0000_s450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45</xdr:row>
          <xdr:rowOff>9525</xdr:rowOff>
        </xdr:from>
        <xdr:to>
          <xdr:col>6</xdr:col>
          <xdr:colOff>504825</xdr:colOff>
          <xdr:row>45</xdr:row>
          <xdr:rowOff>219075</xdr:rowOff>
        </xdr:to>
        <xdr:sp macro="" textlink="">
          <xdr:nvSpPr>
            <xdr:cNvPr id="45097" name="Object 41" hidden="1">
              <a:extLst>
                <a:ext uri="{63B3BB69-23CF-44E3-9099-C40C66FF867C}">
                  <a14:compatExt spid="_x0000_s45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39</xdr:row>
          <xdr:rowOff>19050</xdr:rowOff>
        </xdr:from>
        <xdr:to>
          <xdr:col>7</xdr:col>
          <xdr:colOff>9525</xdr:colOff>
          <xdr:row>39</xdr:row>
          <xdr:rowOff>228600</xdr:rowOff>
        </xdr:to>
        <xdr:sp macro="" textlink="">
          <xdr:nvSpPr>
            <xdr:cNvPr id="45098" name="Object 42" hidden="1">
              <a:extLst>
                <a:ext uri="{63B3BB69-23CF-44E3-9099-C40C66FF867C}">
                  <a14:compatExt spid="_x0000_s45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8</xdr:row>
          <xdr:rowOff>28575</xdr:rowOff>
        </xdr:from>
        <xdr:to>
          <xdr:col>15</xdr:col>
          <xdr:colOff>371475</xdr:colOff>
          <xdr:row>9</xdr:row>
          <xdr:rowOff>0</xdr:rowOff>
        </xdr:to>
        <xdr:sp macro="" textlink="">
          <xdr:nvSpPr>
            <xdr:cNvPr id="45099" name="Object 43" hidden="1">
              <a:extLst>
                <a:ext uri="{63B3BB69-23CF-44E3-9099-C40C66FF867C}">
                  <a14:compatExt spid="_x0000_s450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21</xdr:row>
          <xdr:rowOff>38100</xdr:rowOff>
        </xdr:from>
        <xdr:to>
          <xdr:col>5</xdr:col>
          <xdr:colOff>390525</xdr:colOff>
          <xdr:row>22</xdr:row>
          <xdr:rowOff>0</xdr:rowOff>
        </xdr:to>
        <xdr:sp macro="" textlink="">
          <xdr:nvSpPr>
            <xdr:cNvPr id="45100" name="Object 44" hidden="1">
              <a:extLst>
                <a:ext uri="{63B3BB69-23CF-44E3-9099-C40C66FF867C}">
                  <a14:compatExt spid="_x0000_s45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428625</xdr:colOff>
          <xdr:row>57</xdr:row>
          <xdr:rowOff>0</xdr:rowOff>
        </xdr:from>
        <xdr:to>
          <xdr:col>14</xdr:col>
          <xdr:colOff>114300</xdr:colOff>
          <xdr:row>58</xdr:row>
          <xdr:rowOff>38100</xdr:rowOff>
        </xdr:to>
        <xdr:sp macro="" textlink="">
          <xdr:nvSpPr>
            <xdr:cNvPr id="45101" name="Object 45" hidden="1">
              <a:extLst>
                <a:ext uri="{63B3BB69-23CF-44E3-9099-C40C66FF867C}">
                  <a14:compatExt spid="_x0000_s451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447675</xdr:colOff>
          <xdr:row>58</xdr:row>
          <xdr:rowOff>9525</xdr:rowOff>
        </xdr:from>
        <xdr:to>
          <xdr:col>14</xdr:col>
          <xdr:colOff>76200</xdr:colOff>
          <xdr:row>58</xdr:row>
          <xdr:rowOff>228600</xdr:rowOff>
        </xdr:to>
        <xdr:sp macro="" textlink="">
          <xdr:nvSpPr>
            <xdr:cNvPr id="45102" name="Object 46" hidden="1">
              <a:extLst>
                <a:ext uri="{63B3BB69-23CF-44E3-9099-C40C66FF867C}">
                  <a14:compatExt spid="_x0000_s451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8</xdr:row>
          <xdr:rowOff>47625</xdr:rowOff>
        </xdr:from>
        <xdr:to>
          <xdr:col>4</xdr:col>
          <xdr:colOff>333375</xdr:colOff>
          <xdr:row>8</xdr:row>
          <xdr:rowOff>219075</xdr:rowOff>
        </xdr:to>
        <xdr:sp macro="" textlink="">
          <xdr:nvSpPr>
            <xdr:cNvPr id="45103" name="Object 47" hidden="1">
              <a:extLst>
                <a:ext uri="{63B3BB69-23CF-44E3-9099-C40C66FF867C}">
                  <a14:compatExt spid="_x0000_s451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180975</xdr:colOff>
          <xdr:row>8</xdr:row>
          <xdr:rowOff>47625</xdr:rowOff>
        </xdr:from>
        <xdr:to>
          <xdr:col>9</xdr:col>
          <xdr:colOff>333375</xdr:colOff>
          <xdr:row>8</xdr:row>
          <xdr:rowOff>219075</xdr:rowOff>
        </xdr:to>
        <xdr:sp macro="" textlink="">
          <xdr:nvSpPr>
            <xdr:cNvPr id="45104" name="Object 48" hidden="1">
              <a:extLst>
                <a:ext uri="{63B3BB69-23CF-44E3-9099-C40C66FF867C}">
                  <a14:compatExt spid="_x0000_s451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180975</xdr:colOff>
          <xdr:row>8</xdr:row>
          <xdr:rowOff>47625</xdr:rowOff>
        </xdr:from>
        <xdr:to>
          <xdr:col>14</xdr:col>
          <xdr:colOff>333375</xdr:colOff>
          <xdr:row>8</xdr:row>
          <xdr:rowOff>219075</xdr:rowOff>
        </xdr:to>
        <xdr:sp macro="" textlink="">
          <xdr:nvSpPr>
            <xdr:cNvPr id="45105" name="Object 49" hidden="1">
              <a:extLst>
                <a:ext uri="{63B3BB69-23CF-44E3-9099-C40C66FF867C}">
                  <a14:compatExt spid="_x0000_s451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8</xdr:row>
          <xdr:rowOff>28575</xdr:rowOff>
        </xdr:from>
        <xdr:to>
          <xdr:col>5</xdr:col>
          <xdr:colOff>371475</xdr:colOff>
          <xdr:row>9</xdr:row>
          <xdr:rowOff>0</xdr:rowOff>
        </xdr:to>
        <xdr:sp macro="" textlink="">
          <xdr:nvSpPr>
            <xdr:cNvPr id="45106" name="Object 50" hidden="1">
              <a:extLst>
                <a:ext uri="{63B3BB69-23CF-44E3-9099-C40C66FF867C}">
                  <a14:compatExt spid="_x0000_s451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8</xdr:row>
          <xdr:rowOff>28575</xdr:rowOff>
        </xdr:from>
        <xdr:to>
          <xdr:col>10</xdr:col>
          <xdr:colOff>371475</xdr:colOff>
          <xdr:row>9</xdr:row>
          <xdr:rowOff>0</xdr:rowOff>
        </xdr:to>
        <xdr:sp macro="" textlink="">
          <xdr:nvSpPr>
            <xdr:cNvPr id="45107" name="Object 51" hidden="1">
              <a:extLst>
                <a:ext uri="{63B3BB69-23CF-44E3-9099-C40C66FF867C}">
                  <a14:compatExt spid="_x0000_s451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8</xdr:row>
          <xdr:rowOff>28575</xdr:rowOff>
        </xdr:from>
        <xdr:to>
          <xdr:col>16</xdr:col>
          <xdr:colOff>381000</xdr:colOff>
          <xdr:row>9</xdr:row>
          <xdr:rowOff>0</xdr:rowOff>
        </xdr:to>
        <xdr:sp macro="" textlink="">
          <xdr:nvSpPr>
            <xdr:cNvPr id="45108" name="Object 52" hidden="1">
              <a:extLst>
                <a:ext uri="{63B3BB69-23CF-44E3-9099-C40C66FF867C}">
                  <a14:compatExt spid="_x0000_s451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8</xdr:row>
          <xdr:rowOff>28575</xdr:rowOff>
        </xdr:from>
        <xdr:to>
          <xdr:col>15</xdr:col>
          <xdr:colOff>371475</xdr:colOff>
          <xdr:row>9</xdr:row>
          <xdr:rowOff>0</xdr:rowOff>
        </xdr:to>
        <xdr:sp macro="" textlink="">
          <xdr:nvSpPr>
            <xdr:cNvPr id="45109" name="Object 53" hidden="1">
              <a:extLst>
                <a:ext uri="{63B3BB69-23CF-44E3-9099-C40C66FF867C}">
                  <a14:compatExt spid="_x0000_s451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21</xdr:row>
          <xdr:rowOff>38100</xdr:rowOff>
        </xdr:from>
        <xdr:to>
          <xdr:col>10</xdr:col>
          <xdr:colOff>361950</xdr:colOff>
          <xdr:row>22</xdr:row>
          <xdr:rowOff>9525</xdr:rowOff>
        </xdr:to>
        <xdr:sp macro="" textlink="">
          <xdr:nvSpPr>
            <xdr:cNvPr id="45110" name="Object 54" hidden="1">
              <a:extLst>
                <a:ext uri="{63B3BB69-23CF-44E3-9099-C40C66FF867C}">
                  <a14:compatExt spid="_x0000_s451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37</xdr:row>
          <xdr:rowOff>0</xdr:rowOff>
        </xdr:from>
        <xdr:to>
          <xdr:col>5</xdr:col>
          <xdr:colOff>285750</xdr:colOff>
          <xdr:row>38</xdr:row>
          <xdr:rowOff>9525</xdr:rowOff>
        </xdr:to>
        <xdr:sp macro="" textlink="">
          <xdr:nvSpPr>
            <xdr:cNvPr id="45111" name="Object 55" hidden="1">
              <a:extLst>
                <a:ext uri="{63B3BB69-23CF-44E3-9099-C40C66FF867C}">
                  <a14:compatExt spid="_x0000_s451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43</xdr:row>
          <xdr:rowOff>19050</xdr:rowOff>
        </xdr:from>
        <xdr:to>
          <xdr:col>5</xdr:col>
          <xdr:colOff>361950</xdr:colOff>
          <xdr:row>44</xdr:row>
          <xdr:rowOff>9525</xdr:rowOff>
        </xdr:to>
        <xdr:sp macro="" textlink="">
          <xdr:nvSpPr>
            <xdr:cNvPr id="45112" name="Object 56" hidden="1">
              <a:extLst>
                <a:ext uri="{63B3BB69-23CF-44E3-9099-C40C66FF867C}">
                  <a14:compatExt spid="_x0000_s451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10</xdr:col>
      <xdr:colOff>26940</xdr:colOff>
      <xdr:row>15</xdr:row>
      <xdr:rowOff>45720</xdr:rowOff>
    </xdr:from>
    <xdr:ext cx="2408285" cy="2087880"/>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2940" y="2903220"/>
          <a:ext cx="2408285" cy="2087880"/>
        </a:xfrm>
        <a:prstGeom prst="rect">
          <a:avLst/>
        </a:prstGeom>
      </xdr:spPr>
    </xdr:pic>
    <xdr:clientData/>
  </xdr:oneCellAnchor>
  <xdr:oneCellAnchor>
    <xdr:from>
      <xdr:col>10</xdr:col>
      <xdr:colOff>30480</xdr:colOff>
      <xdr:row>10</xdr:row>
      <xdr:rowOff>68580</xdr:rowOff>
    </xdr:from>
    <xdr:ext cx="2400163" cy="2316480"/>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26480" y="1973580"/>
          <a:ext cx="2400163" cy="2316480"/>
        </a:xfrm>
        <a:prstGeom prst="rect">
          <a:avLst/>
        </a:prstGeom>
      </xdr:spPr>
    </xdr:pic>
    <xdr:clientData/>
  </xdr:oneCellAnchor>
  <xdr:twoCellAnchor>
    <xdr:from>
      <xdr:col>8</xdr:col>
      <xdr:colOff>45720</xdr:colOff>
      <xdr:row>16</xdr:row>
      <xdr:rowOff>640080</xdr:rowOff>
    </xdr:from>
    <xdr:to>
      <xdr:col>9</xdr:col>
      <xdr:colOff>1424940</xdr:colOff>
      <xdr:row>16</xdr:row>
      <xdr:rowOff>1760220</xdr:rowOff>
    </xdr:to>
    <xdr:sp macro="" textlink="">
      <xdr:nvSpPr>
        <xdr:cNvPr id="4" name="Скругленная прямоугольная выноска 3"/>
        <xdr:cNvSpPr/>
      </xdr:nvSpPr>
      <xdr:spPr>
        <a:xfrm>
          <a:off x="4922520" y="3240405"/>
          <a:ext cx="1169670" cy="0"/>
        </a:xfrm>
        <a:prstGeom prst="wedgeRoundRectCallout">
          <a:avLst>
            <a:gd name="adj1" fmla="val 83591"/>
            <a:gd name="adj2" fmla="val 24190"/>
            <a:gd name="adj3" fmla="val 16667"/>
          </a:avLst>
        </a:prstGeom>
        <a:solidFill>
          <a:schemeClr val="bg1">
            <a:lumMod val="5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45720</xdr:colOff>
      <xdr:row>18</xdr:row>
      <xdr:rowOff>502920</xdr:rowOff>
    </xdr:from>
    <xdr:to>
      <xdr:col>9</xdr:col>
      <xdr:colOff>1424940</xdr:colOff>
      <xdr:row>18</xdr:row>
      <xdr:rowOff>1623060</xdr:rowOff>
    </xdr:to>
    <xdr:sp macro="" textlink="">
      <xdr:nvSpPr>
        <xdr:cNvPr id="5" name="Скругленная прямоугольная выноска 4"/>
        <xdr:cNvSpPr/>
      </xdr:nvSpPr>
      <xdr:spPr>
        <a:xfrm>
          <a:off x="4922520" y="3617595"/>
          <a:ext cx="1169670" cy="5715"/>
        </a:xfrm>
        <a:prstGeom prst="wedgeRoundRectCallout">
          <a:avLst>
            <a:gd name="adj1" fmla="val 83591"/>
            <a:gd name="adj2" fmla="val 24190"/>
            <a:gd name="adj3" fmla="val 16667"/>
          </a:avLst>
        </a:prstGeom>
        <a:solidFill>
          <a:schemeClr val="bg1">
            <a:lumMod val="5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102870</xdr:colOff>
      <xdr:row>19</xdr:row>
      <xdr:rowOff>464820</xdr:rowOff>
    </xdr:from>
    <xdr:to>
      <xdr:col>12</xdr:col>
      <xdr:colOff>2183130</xdr:colOff>
      <xdr:row>19</xdr:row>
      <xdr:rowOff>1524000</xdr:rowOff>
    </xdr:to>
    <xdr:sp macro="" textlink="">
      <xdr:nvSpPr>
        <xdr:cNvPr id="6" name="Скругленная прямоугольная выноска 5"/>
        <xdr:cNvSpPr/>
      </xdr:nvSpPr>
      <xdr:spPr>
        <a:xfrm>
          <a:off x="7418070" y="3808095"/>
          <a:ext cx="508635" cy="1905"/>
        </a:xfrm>
        <a:prstGeom prst="wedgeRoundRectCallout">
          <a:avLst>
            <a:gd name="adj1" fmla="val -111281"/>
            <a:gd name="adj2" fmla="val 14838"/>
            <a:gd name="adj3" fmla="val 16667"/>
          </a:avLst>
        </a:prstGeom>
        <a:solidFill>
          <a:schemeClr val="bg1">
            <a:lumMod val="5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102870</xdr:colOff>
      <xdr:row>18</xdr:row>
      <xdr:rowOff>533400</xdr:rowOff>
    </xdr:from>
    <xdr:to>
      <xdr:col>12</xdr:col>
      <xdr:colOff>2183130</xdr:colOff>
      <xdr:row>18</xdr:row>
      <xdr:rowOff>1592580</xdr:rowOff>
    </xdr:to>
    <xdr:sp macro="" textlink="">
      <xdr:nvSpPr>
        <xdr:cNvPr id="7" name="Скругленная прямоугольная выноска 6"/>
        <xdr:cNvSpPr/>
      </xdr:nvSpPr>
      <xdr:spPr>
        <a:xfrm>
          <a:off x="7418070" y="3619500"/>
          <a:ext cx="508635" cy="1905"/>
        </a:xfrm>
        <a:prstGeom prst="wedgeRoundRectCallout">
          <a:avLst>
            <a:gd name="adj1" fmla="val -111281"/>
            <a:gd name="adj2" fmla="val 14838"/>
            <a:gd name="adj3" fmla="val 16667"/>
          </a:avLst>
        </a:prstGeom>
        <a:solidFill>
          <a:schemeClr val="bg1">
            <a:lumMod val="5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80010</xdr:colOff>
      <xdr:row>15</xdr:row>
      <xdr:rowOff>571500</xdr:rowOff>
    </xdr:from>
    <xdr:to>
      <xdr:col>12</xdr:col>
      <xdr:colOff>2160270</xdr:colOff>
      <xdr:row>15</xdr:row>
      <xdr:rowOff>1630680</xdr:rowOff>
    </xdr:to>
    <xdr:sp macro="" textlink="">
      <xdr:nvSpPr>
        <xdr:cNvPr id="8" name="Скругленная прямоугольная выноска 7"/>
        <xdr:cNvSpPr/>
      </xdr:nvSpPr>
      <xdr:spPr>
        <a:xfrm>
          <a:off x="7395210" y="3048000"/>
          <a:ext cx="527685" cy="1905"/>
        </a:xfrm>
        <a:prstGeom prst="wedgeRoundRectCallout">
          <a:avLst>
            <a:gd name="adj1" fmla="val -128863"/>
            <a:gd name="adj2" fmla="val -16817"/>
            <a:gd name="adj3" fmla="val 16667"/>
          </a:avLst>
        </a:prstGeom>
        <a:solidFill>
          <a:srgbClr val="7F7F7F">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oneCellAnchor>
    <xdr:from>
      <xdr:col>10</xdr:col>
      <xdr:colOff>68580</xdr:colOff>
      <xdr:row>23</xdr:row>
      <xdr:rowOff>91440</xdr:rowOff>
    </xdr:from>
    <xdr:ext cx="2362835" cy="3180081"/>
    <xdr:pic>
      <xdr:nvPicPr>
        <xdr:cNvPr id="9" name="Рисунок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64580" y="4472940"/>
          <a:ext cx="2362835" cy="3180081"/>
        </a:xfrm>
        <a:prstGeom prst="rect">
          <a:avLst/>
        </a:prstGeom>
      </xdr:spPr>
    </xdr:pic>
    <xdr:clientData/>
  </xdr:oneCellAnchor>
  <xdr:oneCellAnchor>
    <xdr:from>
      <xdr:col>10</xdr:col>
      <xdr:colOff>60960</xdr:colOff>
      <xdr:row>22</xdr:row>
      <xdr:rowOff>71965</xdr:rowOff>
    </xdr:from>
    <xdr:ext cx="2372361" cy="5057926"/>
    <xdr:pic>
      <xdr:nvPicPr>
        <xdr:cNvPr id="10" name="Рисунок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56960" y="4262965"/>
          <a:ext cx="2372361" cy="5057926"/>
        </a:xfrm>
        <a:prstGeom prst="rect">
          <a:avLst/>
        </a:prstGeom>
      </xdr:spPr>
    </xdr:pic>
    <xdr:clientData/>
  </xdr:oneCellAnchor>
  <xdr:oneCellAnchor>
    <xdr:from>
      <xdr:col>10</xdr:col>
      <xdr:colOff>45720</xdr:colOff>
      <xdr:row>11</xdr:row>
      <xdr:rowOff>54613</xdr:rowOff>
    </xdr:from>
    <xdr:ext cx="2391410" cy="1829151"/>
    <xdr:pic>
      <xdr:nvPicPr>
        <xdr:cNvPr id="11" name="Рисунок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41720" y="2150113"/>
          <a:ext cx="2391410" cy="1829151"/>
        </a:xfrm>
        <a:prstGeom prst="rect">
          <a:avLst/>
        </a:prstGeom>
      </xdr:spPr>
    </xdr:pic>
    <xdr:clientData/>
  </xdr:oneCellAnchor>
  <xdr:twoCellAnchor>
    <xdr:from>
      <xdr:col>8</xdr:col>
      <xdr:colOff>38100</xdr:colOff>
      <xdr:row>10</xdr:row>
      <xdr:rowOff>647700</xdr:rowOff>
    </xdr:from>
    <xdr:to>
      <xdr:col>9</xdr:col>
      <xdr:colOff>1417320</xdr:colOff>
      <xdr:row>10</xdr:row>
      <xdr:rowOff>1767840</xdr:rowOff>
    </xdr:to>
    <xdr:sp macro="" textlink="">
      <xdr:nvSpPr>
        <xdr:cNvPr id="12" name="Скругленная прямоугольная выноска 11"/>
        <xdr:cNvSpPr/>
      </xdr:nvSpPr>
      <xdr:spPr>
        <a:xfrm>
          <a:off x="4914900" y="2095500"/>
          <a:ext cx="1179195" cy="0"/>
        </a:xfrm>
        <a:prstGeom prst="wedgeRoundRectCallout">
          <a:avLst>
            <a:gd name="adj1" fmla="val 69591"/>
            <a:gd name="adj2" fmla="val -5062"/>
            <a:gd name="adj3" fmla="val 16667"/>
          </a:avLst>
        </a:prstGeom>
        <a:solidFill>
          <a:srgbClr val="7F7F7F">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oneCellAnchor>
    <xdr:from>
      <xdr:col>10</xdr:col>
      <xdr:colOff>45721</xdr:colOff>
      <xdr:row>12</xdr:row>
      <xdr:rowOff>30480</xdr:rowOff>
    </xdr:from>
    <xdr:ext cx="2389505" cy="2230332"/>
    <xdr:pic>
      <xdr:nvPicPr>
        <xdr:cNvPr id="13" name="Рисунок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41721" y="2316480"/>
          <a:ext cx="2389505" cy="2230332"/>
        </a:xfrm>
        <a:prstGeom prst="rect">
          <a:avLst/>
        </a:prstGeom>
      </xdr:spPr>
    </xdr:pic>
    <xdr:clientData/>
  </xdr:oneCellAnchor>
  <xdr:oneCellAnchor>
    <xdr:from>
      <xdr:col>10</xdr:col>
      <xdr:colOff>35538</xdr:colOff>
      <xdr:row>13</xdr:row>
      <xdr:rowOff>53340</xdr:rowOff>
    </xdr:from>
    <xdr:ext cx="2399686" cy="2230332"/>
    <xdr:pic>
      <xdr:nvPicPr>
        <xdr:cNvPr id="14" name="Рисунок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31538" y="2529840"/>
          <a:ext cx="2399686" cy="2230332"/>
        </a:xfrm>
        <a:prstGeom prst="rect">
          <a:avLst/>
        </a:prstGeom>
      </xdr:spPr>
    </xdr:pic>
    <xdr:clientData/>
  </xdr:oneCellAnchor>
  <xdr:oneCellAnchor>
    <xdr:from>
      <xdr:col>10</xdr:col>
      <xdr:colOff>45720</xdr:colOff>
      <xdr:row>14</xdr:row>
      <xdr:rowOff>39780</xdr:rowOff>
    </xdr:from>
    <xdr:ext cx="2389505" cy="2836691"/>
    <xdr:pic>
      <xdr:nvPicPr>
        <xdr:cNvPr id="15" name="Рисунок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41720" y="2706780"/>
          <a:ext cx="2389505" cy="2836691"/>
        </a:xfrm>
        <a:prstGeom prst="rect">
          <a:avLst/>
        </a:prstGeom>
      </xdr:spPr>
    </xdr:pic>
    <xdr:clientData/>
  </xdr:oneCellAnchor>
  <xdr:oneCellAnchor>
    <xdr:from>
      <xdr:col>10</xdr:col>
      <xdr:colOff>51162</xdr:colOff>
      <xdr:row>16</xdr:row>
      <xdr:rowOff>45720</xdr:rowOff>
    </xdr:from>
    <xdr:ext cx="2387872" cy="2499360"/>
    <xdr:pic>
      <xdr:nvPicPr>
        <xdr:cNvPr id="16" name="Рисунок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47162" y="3093720"/>
          <a:ext cx="2387872" cy="2499360"/>
        </a:xfrm>
        <a:prstGeom prst="rect">
          <a:avLst/>
        </a:prstGeom>
      </xdr:spPr>
    </xdr:pic>
    <xdr:clientData/>
  </xdr:oneCellAnchor>
  <xdr:oneCellAnchor>
    <xdr:from>
      <xdr:col>10</xdr:col>
      <xdr:colOff>70586</xdr:colOff>
      <xdr:row>17</xdr:row>
      <xdr:rowOff>38100</xdr:rowOff>
    </xdr:from>
    <xdr:ext cx="2317014" cy="3515463"/>
    <xdr:pic>
      <xdr:nvPicPr>
        <xdr:cNvPr id="17" name="Рисунок 1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166586" y="3276600"/>
          <a:ext cx="2317014" cy="3515463"/>
        </a:xfrm>
        <a:prstGeom prst="rect">
          <a:avLst/>
        </a:prstGeom>
      </xdr:spPr>
    </xdr:pic>
    <xdr:clientData/>
  </xdr:oneCellAnchor>
  <xdr:twoCellAnchor>
    <xdr:from>
      <xdr:col>12</xdr:col>
      <xdr:colOff>102870</xdr:colOff>
      <xdr:row>17</xdr:row>
      <xdr:rowOff>1203960</xdr:rowOff>
    </xdr:from>
    <xdr:to>
      <xdr:col>12</xdr:col>
      <xdr:colOff>2183130</xdr:colOff>
      <xdr:row>17</xdr:row>
      <xdr:rowOff>2263140</xdr:rowOff>
    </xdr:to>
    <xdr:sp macro="" textlink="">
      <xdr:nvSpPr>
        <xdr:cNvPr id="18" name="Скругленная прямоугольная выноска 17"/>
        <xdr:cNvSpPr/>
      </xdr:nvSpPr>
      <xdr:spPr>
        <a:xfrm>
          <a:off x="7418070" y="3432810"/>
          <a:ext cx="508635" cy="0"/>
        </a:xfrm>
        <a:prstGeom prst="wedgeRoundRectCallout">
          <a:avLst>
            <a:gd name="adj1" fmla="val -158167"/>
            <a:gd name="adj2" fmla="val -44155"/>
            <a:gd name="adj3" fmla="val 16667"/>
          </a:avLst>
        </a:prstGeom>
        <a:solidFill>
          <a:srgbClr val="7F7F7F">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68580</xdr:colOff>
      <xdr:row>11</xdr:row>
      <xdr:rowOff>434340</xdr:rowOff>
    </xdr:from>
    <xdr:to>
      <xdr:col>9</xdr:col>
      <xdr:colOff>1447800</xdr:colOff>
      <xdr:row>11</xdr:row>
      <xdr:rowOff>1554480</xdr:rowOff>
    </xdr:to>
    <xdr:sp macro="" textlink="">
      <xdr:nvSpPr>
        <xdr:cNvPr id="19" name="Скругленная прямоугольная выноска 18"/>
        <xdr:cNvSpPr/>
      </xdr:nvSpPr>
      <xdr:spPr>
        <a:xfrm>
          <a:off x="4945380" y="2282190"/>
          <a:ext cx="1150620" cy="5715"/>
        </a:xfrm>
        <a:prstGeom prst="wedgeRoundRectCallout">
          <a:avLst>
            <a:gd name="adj1" fmla="val 75020"/>
            <a:gd name="adj2" fmla="val -45198"/>
            <a:gd name="adj3" fmla="val 16667"/>
          </a:avLst>
        </a:prstGeom>
        <a:solidFill>
          <a:srgbClr val="7F7F7F">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60960</xdr:colOff>
      <xdr:row>15</xdr:row>
      <xdr:rowOff>541020</xdr:rowOff>
    </xdr:from>
    <xdr:to>
      <xdr:col>9</xdr:col>
      <xdr:colOff>1440180</xdr:colOff>
      <xdr:row>15</xdr:row>
      <xdr:rowOff>1661160</xdr:rowOff>
    </xdr:to>
    <xdr:sp macro="" textlink="">
      <xdr:nvSpPr>
        <xdr:cNvPr id="20" name="Скругленная прямоугольная выноска 19"/>
        <xdr:cNvSpPr/>
      </xdr:nvSpPr>
      <xdr:spPr>
        <a:xfrm>
          <a:off x="4937760" y="3046095"/>
          <a:ext cx="1160145" cy="5715"/>
        </a:xfrm>
        <a:prstGeom prst="wedgeRoundRectCallout">
          <a:avLst>
            <a:gd name="adj1" fmla="val 58734"/>
            <a:gd name="adj2" fmla="val -56082"/>
            <a:gd name="adj3" fmla="val 16667"/>
          </a:avLst>
        </a:prstGeom>
        <a:solidFill>
          <a:srgbClr val="7F7F7F">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oneCellAnchor>
    <xdr:from>
      <xdr:col>10</xdr:col>
      <xdr:colOff>30480</xdr:colOff>
      <xdr:row>18</xdr:row>
      <xdr:rowOff>0</xdr:rowOff>
    </xdr:from>
    <xdr:ext cx="2408285" cy="2087880"/>
    <xdr:pic>
      <xdr:nvPicPr>
        <xdr:cNvPr id="21" name="Рисунок 2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6480" y="3429000"/>
          <a:ext cx="2408285" cy="2087880"/>
        </a:xfrm>
        <a:prstGeom prst="rect">
          <a:avLst/>
        </a:prstGeom>
      </xdr:spPr>
    </xdr:pic>
    <xdr:clientData/>
  </xdr:oneCellAnchor>
  <xdr:oneCellAnchor>
    <xdr:from>
      <xdr:col>10</xdr:col>
      <xdr:colOff>14040</xdr:colOff>
      <xdr:row>20</xdr:row>
      <xdr:rowOff>60960</xdr:rowOff>
    </xdr:from>
    <xdr:ext cx="2404040" cy="2971800"/>
    <xdr:pic>
      <xdr:nvPicPr>
        <xdr:cNvPr id="22" name="Рисунок 2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0040" y="3870960"/>
          <a:ext cx="2404040" cy="2971800"/>
        </a:xfrm>
        <a:prstGeom prst="rect">
          <a:avLst/>
        </a:prstGeom>
      </xdr:spPr>
    </xdr:pic>
    <xdr:clientData/>
  </xdr:oneCellAnchor>
  <xdr:oneCellAnchor>
    <xdr:from>
      <xdr:col>10</xdr:col>
      <xdr:colOff>0</xdr:colOff>
      <xdr:row>19</xdr:row>
      <xdr:rowOff>1</xdr:rowOff>
    </xdr:from>
    <xdr:ext cx="2428875" cy="2111374"/>
    <xdr:pic>
      <xdr:nvPicPr>
        <xdr:cNvPr id="23" name="Рисунок 22"/>
        <xdr:cNvPicPr>
          <a:picLocks noChangeAspect="1"/>
        </xdr:cNvPicPr>
      </xdr:nvPicPr>
      <xdr:blipFill rotWithShape="1">
        <a:blip xmlns:r="http://schemas.openxmlformats.org/officeDocument/2006/relationships" r:embed="rId12"/>
        <a:srcRect l="28180" t="-1739" r="8219" b="1739"/>
        <a:stretch/>
      </xdr:blipFill>
      <xdr:spPr>
        <a:xfrm>
          <a:off x="6096000" y="3619501"/>
          <a:ext cx="2428875" cy="211137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1485900</xdr:colOff>
      <xdr:row>0</xdr:row>
      <xdr:rowOff>0</xdr:rowOff>
    </xdr:from>
    <xdr:to>
      <xdr:col>2</xdr:col>
      <xdr:colOff>1162050</xdr:colOff>
      <xdr:row>2</xdr:row>
      <xdr:rowOff>161925</xdr:rowOff>
    </xdr:to>
    <xdr:sp macro="" textlink="">
      <xdr:nvSpPr>
        <xdr:cNvPr id="2" name="Text 2"/>
        <xdr:cNvSpPr txBox="1">
          <a:spLocks noChangeArrowheads="1"/>
        </xdr:cNvSpPr>
      </xdr:nvSpPr>
      <xdr:spPr bwMode="auto">
        <a:xfrm>
          <a:off x="2095500" y="0"/>
          <a:ext cx="2057400" cy="495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18288" rIns="18288" bIns="0" anchor="t" upright="1"/>
        <a:lstStyle/>
        <a:p>
          <a:pPr algn="ctr" rtl="0">
            <a:defRPr sz="1000"/>
          </a:pPr>
          <a:endParaRPr lang="ru-RU" sz="1000" b="1" i="0" u="none" strike="noStrike" baseline="0">
            <a:solidFill>
              <a:srgbClr val="000000"/>
            </a:solidFill>
            <a:latin typeface="Arial"/>
            <a:cs typeface="Arial"/>
          </a:endParaRPr>
        </a:p>
        <a:p>
          <a:pPr algn="ctr" rtl="0">
            <a:defRPr sz="1000"/>
          </a:pPr>
          <a:r>
            <a:rPr lang="ru-RU" sz="1000" b="1" i="0" u="none" strike="noStrike" baseline="0">
              <a:solidFill>
                <a:srgbClr val="000000"/>
              </a:solidFill>
              <a:latin typeface="Arial"/>
              <a:cs typeface="Arial"/>
            </a:rPr>
            <a:t>Акт приемки процесса</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133350</xdr:colOff>
      <xdr:row>14</xdr:row>
      <xdr:rowOff>28575</xdr:rowOff>
    </xdr:from>
    <xdr:to>
      <xdr:col>3</xdr:col>
      <xdr:colOff>238125</xdr:colOff>
      <xdr:row>14</xdr:row>
      <xdr:rowOff>123825</xdr:rowOff>
    </xdr:to>
    <xdr:sp macro="" textlink="">
      <xdr:nvSpPr>
        <xdr:cNvPr id="29697" name="Drawing 134"/>
        <xdr:cNvSpPr>
          <a:spLocks/>
        </xdr:cNvSpPr>
      </xdr:nvSpPr>
      <xdr:spPr bwMode="auto">
        <a:xfrm>
          <a:off x="1343025" y="2495550"/>
          <a:ext cx="104775" cy="95250"/>
        </a:xfrm>
        <a:custGeom>
          <a:avLst/>
          <a:gdLst>
            <a:gd name="T0" fmla="*/ 8582 w 16384"/>
            <a:gd name="T1" fmla="*/ 0 h 16384"/>
            <a:gd name="T2" fmla="*/ 0 w 16384"/>
            <a:gd name="T3" fmla="*/ 16384 h 16384"/>
            <a:gd name="T4" fmla="*/ 16384 w 16384"/>
            <a:gd name="T5" fmla="*/ 16384 h 16384"/>
            <a:gd name="T6" fmla="*/ 8582 w 16384"/>
            <a:gd name="T7" fmla="*/ 0 h 16384"/>
          </a:gdLst>
          <a:ahLst/>
          <a:cxnLst>
            <a:cxn ang="0">
              <a:pos x="T0" y="T1"/>
            </a:cxn>
            <a:cxn ang="0">
              <a:pos x="T2" y="T3"/>
            </a:cxn>
            <a:cxn ang="0">
              <a:pos x="T4" y="T5"/>
            </a:cxn>
            <a:cxn ang="0">
              <a:pos x="T6" y="T7"/>
            </a:cxn>
          </a:cxnLst>
          <a:rect l="0" t="0" r="r" b="b"/>
          <a:pathLst>
            <a:path w="16384" h="16384">
              <a:moveTo>
                <a:pt x="8582" y="0"/>
              </a:moveTo>
              <a:lnTo>
                <a:pt x="0" y="16384"/>
              </a:lnTo>
              <a:lnTo>
                <a:pt x="16384" y="16384"/>
              </a:lnTo>
              <a:lnTo>
                <a:pt x="8582" y="0"/>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fLocksWithSheet="0"/>
  </xdr:twoCellAnchor>
  <xdr:twoCellAnchor>
    <xdr:from>
      <xdr:col>2</xdr:col>
      <xdr:colOff>152400</xdr:colOff>
      <xdr:row>14</xdr:row>
      <xdr:rowOff>38100</xdr:rowOff>
    </xdr:from>
    <xdr:to>
      <xdr:col>2</xdr:col>
      <xdr:colOff>247650</xdr:colOff>
      <xdr:row>14</xdr:row>
      <xdr:rowOff>133350</xdr:rowOff>
    </xdr:to>
    <xdr:sp macro="" textlink="">
      <xdr:nvSpPr>
        <xdr:cNvPr id="29698" name="Oval 2"/>
        <xdr:cNvSpPr>
          <a:spLocks noChangeArrowheads="1"/>
        </xdr:cNvSpPr>
      </xdr:nvSpPr>
      <xdr:spPr bwMode="auto">
        <a:xfrm>
          <a:off x="942975" y="2505075"/>
          <a:ext cx="95250" cy="95250"/>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fLocksWithSheet="0"/>
  </xdr:twoCellAnchor>
  <xdr:twoCellAnchor>
    <xdr:from>
      <xdr:col>1</xdr:col>
      <xdr:colOff>161925</xdr:colOff>
      <xdr:row>14</xdr:row>
      <xdr:rowOff>28575</xdr:rowOff>
    </xdr:from>
    <xdr:to>
      <xdr:col>1</xdr:col>
      <xdr:colOff>276225</xdr:colOff>
      <xdr:row>14</xdr:row>
      <xdr:rowOff>133350</xdr:rowOff>
    </xdr:to>
    <xdr:sp macro="" textlink="">
      <xdr:nvSpPr>
        <xdr:cNvPr id="29699" name="Drawing 142"/>
        <xdr:cNvSpPr>
          <a:spLocks/>
        </xdr:cNvSpPr>
      </xdr:nvSpPr>
      <xdr:spPr bwMode="auto">
        <a:xfrm>
          <a:off x="533400" y="2495550"/>
          <a:ext cx="114300" cy="104775"/>
        </a:xfrm>
        <a:custGeom>
          <a:avLst/>
          <a:gdLst>
            <a:gd name="T0" fmla="*/ 8192 w 16384"/>
            <a:gd name="T1" fmla="*/ 0 h 16384"/>
            <a:gd name="T2" fmla="*/ 0 w 16384"/>
            <a:gd name="T3" fmla="*/ 8192 h 16384"/>
            <a:gd name="T4" fmla="*/ 8192 w 16384"/>
            <a:gd name="T5" fmla="*/ 16384 h 16384"/>
            <a:gd name="T6" fmla="*/ 16384 w 16384"/>
            <a:gd name="T7" fmla="*/ 7509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192"/>
              </a:lnTo>
              <a:lnTo>
                <a:pt x="8192" y="16384"/>
              </a:lnTo>
              <a:lnTo>
                <a:pt x="16384" y="7509"/>
              </a:lnTo>
              <a:lnTo>
                <a:pt x="8192" y="0"/>
              </a:lnTo>
              <a:close/>
            </a:path>
          </a:pathLst>
        </a:cu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sp>
    <xdr:clientData fLocksWithSheet="0"/>
  </xdr:twoCellAnchor>
  <xdr:twoCellAnchor>
    <xdr:from>
      <xdr:col>4</xdr:col>
      <xdr:colOff>142875</xdr:colOff>
      <xdr:row>14</xdr:row>
      <xdr:rowOff>38100</xdr:rowOff>
    </xdr:from>
    <xdr:to>
      <xdr:col>4</xdr:col>
      <xdr:colOff>228600</xdr:colOff>
      <xdr:row>14</xdr:row>
      <xdr:rowOff>123825</xdr:rowOff>
    </xdr:to>
    <xdr:sp macro="" textlink="">
      <xdr:nvSpPr>
        <xdr:cNvPr id="29700" name="Rectangle 4"/>
        <xdr:cNvSpPr>
          <a:spLocks noChangeArrowheads="1"/>
        </xdr:cNvSpPr>
      </xdr:nvSpPr>
      <xdr:spPr bwMode="auto">
        <a:xfrm>
          <a:off x="1771650" y="2505075"/>
          <a:ext cx="85725" cy="857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5</xdr:col>
      <xdr:colOff>1219200</xdr:colOff>
      <xdr:row>0</xdr:row>
      <xdr:rowOff>123825</xdr:rowOff>
    </xdr:from>
    <xdr:to>
      <xdr:col>7</xdr:col>
      <xdr:colOff>638175</xdr:colOff>
      <xdr:row>1</xdr:row>
      <xdr:rowOff>228600</xdr:rowOff>
    </xdr:to>
    <xdr:sp macro="" textlink="">
      <xdr:nvSpPr>
        <xdr:cNvPr id="29701" name="Text 156"/>
        <xdr:cNvSpPr txBox="1">
          <a:spLocks noChangeArrowheads="1"/>
        </xdr:cNvSpPr>
      </xdr:nvSpPr>
      <xdr:spPr bwMode="auto">
        <a:xfrm>
          <a:off x="3228975" y="123825"/>
          <a:ext cx="2419350" cy="2667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7432" rIns="36576" bIns="0" anchor="t" upright="1"/>
        <a:lstStyle/>
        <a:p>
          <a:pPr algn="ctr" rtl="0">
            <a:defRPr sz="1000"/>
          </a:pPr>
          <a:r>
            <a:rPr lang="ru-RU" sz="1200" b="1" i="0" u="none" strike="noStrike" baseline="0">
              <a:solidFill>
                <a:srgbClr val="000000"/>
              </a:solidFill>
              <a:latin typeface="Arial"/>
              <a:cs typeface="Arial"/>
            </a:rPr>
            <a:t>Карта потока процесса</a:t>
          </a:r>
          <a:endParaRPr lang="ru-RU" sz="1200" b="0" i="0" u="none" strike="noStrike" baseline="0">
            <a:solidFill>
              <a:srgbClr val="000000"/>
            </a:solidFill>
            <a:latin typeface="Arial"/>
            <a:cs typeface="Arial"/>
          </a:endParaRPr>
        </a:p>
        <a:p>
          <a:pPr algn="ctr" rtl="0">
            <a:defRPr sz="1000"/>
          </a:pPr>
          <a:endParaRPr lang="ru-RU" sz="12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923925</xdr:colOff>
      <xdr:row>0</xdr:row>
      <xdr:rowOff>0</xdr:rowOff>
    </xdr:from>
    <xdr:to>
      <xdr:col>2</xdr:col>
      <xdr:colOff>1933575</xdr:colOff>
      <xdr:row>2</xdr:row>
      <xdr:rowOff>104775</xdr:rowOff>
    </xdr:to>
    <xdr:sp macro="" textlink="">
      <xdr:nvSpPr>
        <xdr:cNvPr id="2" name="Text 2"/>
        <xdr:cNvSpPr txBox="1">
          <a:spLocks noChangeArrowheads="1"/>
        </xdr:cNvSpPr>
      </xdr:nvSpPr>
      <xdr:spPr bwMode="auto">
        <a:xfrm>
          <a:off x="1295400" y="0"/>
          <a:ext cx="351472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7432" rIns="36576" bIns="0" anchor="t" upright="1"/>
        <a:lstStyle/>
        <a:p>
          <a:pPr algn="ctr" rtl="0">
            <a:defRPr sz="1000"/>
          </a:pPr>
          <a:endParaRPr lang="ru-RU" sz="1000" b="0" i="0" u="none" strike="noStrike" baseline="0">
            <a:solidFill>
              <a:srgbClr val="000000"/>
            </a:solidFill>
            <a:latin typeface="Arial"/>
            <a:cs typeface="Arial"/>
          </a:endParaRPr>
        </a:p>
        <a:p>
          <a:pPr algn="ctr" rtl="0">
            <a:defRPr sz="1000"/>
          </a:pPr>
          <a:r>
            <a:rPr lang="ru-RU" sz="1000" b="1" i="0" u="none" strike="noStrike" baseline="0">
              <a:solidFill>
                <a:srgbClr val="000000"/>
              </a:solidFill>
              <a:latin typeface="Arial"/>
              <a:cs typeface="Arial"/>
            </a:rPr>
            <a:t>Перечень представляемой документации</a:t>
          </a:r>
        </a:p>
        <a:p>
          <a:pPr algn="ctr" rtl="0">
            <a:defRPr sz="1000"/>
          </a:pPr>
          <a:endParaRPr lang="ru-RU" sz="1000" b="1"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1085850</xdr:colOff>
      <xdr:row>0</xdr:row>
      <xdr:rowOff>0</xdr:rowOff>
    </xdr:from>
    <xdr:to>
      <xdr:col>3</xdr:col>
      <xdr:colOff>1466850</xdr:colOff>
      <xdr:row>2</xdr:row>
      <xdr:rowOff>95250</xdr:rowOff>
    </xdr:to>
    <xdr:sp macro="" textlink="">
      <xdr:nvSpPr>
        <xdr:cNvPr id="2" name="Text 2"/>
        <xdr:cNvSpPr txBox="1">
          <a:spLocks noChangeArrowheads="1"/>
        </xdr:cNvSpPr>
      </xdr:nvSpPr>
      <xdr:spPr bwMode="auto">
        <a:xfrm>
          <a:off x="1752600" y="0"/>
          <a:ext cx="30003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27432" rIns="36576" bIns="0" anchor="t" upright="1"/>
        <a:lstStyle/>
        <a:p>
          <a:pPr algn="ctr" rtl="0">
            <a:defRPr sz="1000"/>
          </a:pPr>
          <a:endParaRPr lang="ru-RU" sz="1000" b="0" i="0" u="none" strike="noStrike" baseline="0">
            <a:solidFill>
              <a:srgbClr val="000000"/>
            </a:solidFill>
            <a:latin typeface="Arial"/>
            <a:cs typeface="Arial"/>
          </a:endParaRPr>
        </a:p>
        <a:p>
          <a:pPr algn="ctr" rtl="0">
            <a:defRPr sz="1000"/>
          </a:pPr>
          <a:r>
            <a:rPr lang="ru-RU" sz="1000" b="1" i="0" u="none" strike="noStrike" baseline="0">
              <a:solidFill>
                <a:srgbClr val="000000"/>
              </a:solidFill>
              <a:latin typeface="Arial"/>
              <a:cs typeface="Arial"/>
            </a:rPr>
            <a:t>Лист контактов поставщика</a:t>
          </a:r>
        </a:p>
        <a:p>
          <a:pPr algn="ctr" rtl="0">
            <a:defRPr sz="1000"/>
          </a:pPr>
          <a:endParaRPr lang="ru-RU" sz="1000" b="1" i="0" u="none" strike="noStrike" baseline="0">
            <a:solidFill>
              <a:srgbClr val="00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xdr:row>
          <xdr:rowOff>85725</xdr:rowOff>
        </xdr:from>
        <xdr:to>
          <xdr:col>7</xdr:col>
          <xdr:colOff>371475</xdr:colOff>
          <xdr:row>1</xdr:row>
          <xdr:rowOff>295275</xdr:rowOff>
        </xdr:to>
        <xdr:sp macro="" textlink="">
          <xdr:nvSpPr>
            <xdr:cNvPr id="28677" name="Option Button 5" hidden="1">
              <a:extLst>
                <a:ext uri="{63B3BB69-23CF-44E3-9099-C40C66FF867C}">
                  <a14:compatExt spid="_x0000_s286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Конструкция FMEA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xdr:row>
          <xdr:rowOff>85725</xdr:rowOff>
        </xdr:from>
        <xdr:to>
          <xdr:col>10</xdr:col>
          <xdr:colOff>285750</xdr:colOff>
          <xdr:row>1</xdr:row>
          <xdr:rowOff>295275</xdr:rowOff>
        </xdr:to>
        <xdr:sp macro="" textlink="">
          <xdr:nvSpPr>
            <xdr:cNvPr id="28678" name="Option Button 6" hidden="1">
              <a:extLst>
                <a:ext uri="{63B3BB69-23CF-44E3-9099-C40C66FF867C}">
                  <a14:compatExt spid="_x0000_s286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Процесс FMEA</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1485900</xdr:colOff>
      <xdr:row>0</xdr:row>
      <xdr:rowOff>0</xdr:rowOff>
    </xdr:from>
    <xdr:to>
      <xdr:col>2</xdr:col>
      <xdr:colOff>1162050</xdr:colOff>
      <xdr:row>2</xdr:row>
      <xdr:rowOff>161925</xdr:rowOff>
    </xdr:to>
    <xdr:sp macro="" textlink="">
      <xdr:nvSpPr>
        <xdr:cNvPr id="2" name="Text 2"/>
        <xdr:cNvSpPr txBox="1">
          <a:spLocks noChangeArrowheads="1"/>
        </xdr:cNvSpPr>
      </xdr:nvSpPr>
      <xdr:spPr bwMode="auto">
        <a:xfrm>
          <a:off x="2095500" y="0"/>
          <a:ext cx="2057400" cy="495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18288" rIns="18288" bIns="0" anchor="t" upright="1"/>
        <a:lstStyle/>
        <a:p>
          <a:pPr algn="ctr" rtl="0">
            <a:defRPr sz="1000"/>
          </a:pPr>
          <a:endParaRPr lang="ru-RU" sz="1000" b="1" i="0" u="none" strike="noStrike" baseline="0">
            <a:solidFill>
              <a:srgbClr val="000000"/>
            </a:solidFill>
            <a:latin typeface="Arial"/>
            <a:cs typeface="Arial"/>
          </a:endParaRPr>
        </a:p>
        <a:p>
          <a:pPr algn="ctr" rtl="0">
            <a:defRPr sz="1000"/>
          </a:pPr>
          <a:r>
            <a:rPr lang="ru-RU" sz="1000" b="1" i="0" u="none" strike="noStrike" baseline="0">
              <a:solidFill>
                <a:srgbClr val="000000"/>
              </a:solidFill>
              <a:latin typeface="Arial"/>
              <a:cs typeface="Arial"/>
            </a:rPr>
            <a:t>Перечень субкомпонентов</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390525</xdr:colOff>
          <xdr:row>2</xdr:row>
          <xdr:rowOff>66675</xdr:rowOff>
        </xdr:from>
        <xdr:to>
          <xdr:col>2</xdr:col>
          <xdr:colOff>238125</xdr:colOff>
          <xdr:row>3</xdr:row>
          <xdr:rowOff>133350</xdr:rowOff>
        </xdr:to>
        <xdr:sp macro="" textlink="">
          <xdr:nvSpPr>
            <xdr:cNvPr id="33793" name="Option Button 1" hidden="1">
              <a:extLst>
                <a:ext uri="{63B3BB69-23CF-44E3-9099-C40C66FF867C}">
                  <a14:compatExt spid="_x0000_s337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Прототип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2</xdr:row>
          <xdr:rowOff>66675</xdr:rowOff>
        </xdr:from>
        <xdr:to>
          <xdr:col>3</xdr:col>
          <xdr:colOff>228600</xdr:colOff>
          <xdr:row>3</xdr:row>
          <xdr:rowOff>133350</xdr:rowOff>
        </xdr:to>
        <xdr:sp macro="" textlink="">
          <xdr:nvSpPr>
            <xdr:cNvPr id="33794" name="Option Button 2" hidden="1">
              <a:extLst>
                <a:ext uri="{63B3BB69-23CF-44E3-9099-C40C66FF867C}">
                  <a14:compatExt spid="_x0000_s337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Предпроизв.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2</xdr:row>
          <xdr:rowOff>66675</xdr:rowOff>
        </xdr:from>
        <xdr:to>
          <xdr:col>4</xdr:col>
          <xdr:colOff>809625</xdr:colOff>
          <xdr:row>3</xdr:row>
          <xdr:rowOff>133350</xdr:rowOff>
        </xdr:to>
        <xdr:sp macro="" textlink="">
          <xdr:nvSpPr>
            <xdr:cNvPr id="33795" name="Option Button 3" hidden="1">
              <a:extLst>
                <a:ext uri="{63B3BB69-23CF-44E3-9099-C40C66FF867C}">
                  <a14:compatExt spid="_x0000_s337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Производ.</a:t>
              </a:r>
            </a:p>
          </xdr:txBody>
        </xdr:sp>
        <xdr:clientData/>
      </xdr:twoCellAnchor>
    </mc:Choice>
    <mc:Fallback/>
  </mc:AlternateContent>
  <xdr:twoCellAnchor>
    <xdr:from>
      <xdr:col>5</xdr:col>
      <xdr:colOff>0</xdr:colOff>
      <xdr:row>0</xdr:row>
      <xdr:rowOff>0</xdr:rowOff>
    </xdr:from>
    <xdr:to>
      <xdr:col>8</xdr:col>
      <xdr:colOff>0</xdr:colOff>
      <xdr:row>1</xdr:row>
      <xdr:rowOff>0</xdr:rowOff>
    </xdr:to>
    <xdr:sp macro="" textlink="">
      <xdr:nvSpPr>
        <xdr:cNvPr id="33796" name="Rectangle 4"/>
        <xdr:cNvSpPr>
          <a:spLocks noChangeArrowheads="1"/>
        </xdr:cNvSpPr>
      </xdr:nvSpPr>
      <xdr:spPr bwMode="auto">
        <a:xfrm>
          <a:off x="3228975" y="0"/>
          <a:ext cx="2409825" cy="161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11</xdr:row>
      <xdr:rowOff>19050</xdr:rowOff>
    </xdr:from>
    <xdr:to>
      <xdr:col>20</xdr:col>
      <xdr:colOff>552450</xdr:colOff>
      <xdr:row>34</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19050</xdr:rowOff>
    </xdr:from>
    <xdr:to>
      <xdr:col>20</xdr:col>
      <xdr:colOff>552450</xdr:colOff>
      <xdr:row>53</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114300</xdr:colOff>
      <xdr:row>3</xdr:row>
      <xdr:rowOff>28575</xdr:rowOff>
    </xdr:from>
    <xdr:to>
      <xdr:col>19</xdr:col>
      <xdr:colOff>180975</xdr:colOff>
      <xdr:row>3</xdr:row>
      <xdr:rowOff>28575</xdr:rowOff>
    </xdr:to>
    <xdr:sp macro="" textlink="">
      <xdr:nvSpPr>
        <xdr:cNvPr id="4" name="Line 3"/>
        <xdr:cNvSpPr>
          <a:spLocks noChangeShapeType="1"/>
        </xdr:cNvSpPr>
      </xdr:nvSpPr>
      <xdr:spPr bwMode="auto">
        <a:xfrm>
          <a:off x="11696700" y="514350"/>
          <a:ext cx="6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485775</xdr:colOff>
      <xdr:row>11</xdr:row>
      <xdr:rowOff>104775</xdr:rowOff>
    </xdr:from>
    <xdr:to>
      <xdr:col>10</xdr:col>
      <xdr:colOff>571500</xdr:colOff>
      <xdr:row>11</xdr:row>
      <xdr:rowOff>104775</xdr:rowOff>
    </xdr:to>
    <xdr:sp macro="" textlink="">
      <xdr:nvSpPr>
        <xdr:cNvPr id="5" name="Line 4"/>
        <xdr:cNvSpPr>
          <a:spLocks noChangeShapeType="1"/>
        </xdr:cNvSpPr>
      </xdr:nvSpPr>
      <xdr:spPr bwMode="auto">
        <a:xfrm>
          <a:off x="6581775" y="1885950"/>
          <a:ext cx="85725"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19050</xdr:colOff>
      <xdr:row>66</xdr:row>
      <xdr:rowOff>19050</xdr:rowOff>
    </xdr:from>
    <xdr:to>
      <xdr:col>17</xdr:col>
      <xdr:colOff>104775</xdr:colOff>
      <xdr:row>66</xdr:row>
      <xdr:rowOff>19050</xdr:rowOff>
    </xdr:to>
    <xdr:sp macro="" textlink="">
      <xdr:nvSpPr>
        <xdr:cNvPr id="6" name="Line 5"/>
        <xdr:cNvSpPr>
          <a:spLocks noChangeShapeType="1"/>
        </xdr:cNvSpPr>
      </xdr:nvSpPr>
      <xdr:spPr bwMode="auto">
        <a:xfrm>
          <a:off x="10382250" y="107061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552450</xdr:colOff>
      <xdr:row>61</xdr:row>
      <xdr:rowOff>19050</xdr:rowOff>
    </xdr:from>
    <xdr:to>
      <xdr:col>17</xdr:col>
      <xdr:colOff>57150</xdr:colOff>
      <xdr:row>61</xdr:row>
      <xdr:rowOff>19050</xdr:rowOff>
    </xdr:to>
    <xdr:sp macro="" textlink="">
      <xdr:nvSpPr>
        <xdr:cNvPr id="7" name="Line 6"/>
        <xdr:cNvSpPr>
          <a:spLocks noChangeShapeType="1"/>
        </xdr:cNvSpPr>
      </xdr:nvSpPr>
      <xdr:spPr bwMode="auto">
        <a:xfrm>
          <a:off x="10306050" y="9896475"/>
          <a:ext cx="11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552450</xdr:colOff>
      <xdr:row>60</xdr:row>
      <xdr:rowOff>142875</xdr:rowOff>
    </xdr:from>
    <xdr:to>
      <xdr:col>17</xdr:col>
      <xdr:colOff>57150</xdr:colOff>
      <xdr:row>60</xdr:row>
      <xdr:rowOff>142875</xdr:rowOff>
    </xdr:to>
    <xdr:sp macro="" textlink="">
      <xdr:nvSpPr>
        <xdr:cNvPr id="8" name="Line 10"/>
        <xdr:cNvSpPr>
          <a:spLocks noChangeShapeType="1"/>
        </xdr:cNvSpPr>
      </xdr:nvSpPr>
      <xdr:spPr bwMode="auto">
        <a:xfrm>
          <a:off x="10306050" y="9858375"/>
          <a:ext cx="11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63</xdr:row>
      <xdr:rowOff>9525</xdr:rowOff>
    </xdr:from>
    <xdr:to>
      <xdr:col>7</xdr:col>
      <xdr:colOff>561975</xdr:colOff>
      <xdr:row>80</xdr:row>
      <xdr:rowOff>0</xdr:rowOff>
    </xdr:to>
    <xdr:graphicFrame macro="">
      <xdr:nvGraphicFramePr>
        <xdr:cNvPr id="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63</xdr:row>
      <xdr:rowOff>9525</xdr:rowOff>
    </xdr:from>
    <xdr:to>
      <xdr:col>15</xdr:col>
      <xdr:colOff>9525</xdr:colOff>
      <xdr:row>80</xdr:row>
      <xdr:rowOff>0</xdr:rowOff>
    </xdr:to>
    <xdr:graphicFrame macro="">
      <xdr:nvGraphicFramePr>
        <xdr:cNvPr id="1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561975</xdr:colOff>
      <xdr:row>64</xdr:row>
      <xdr:rowOff>76200</xdr:rowOff>
    </xdr:from>
    <xdr:to>
      <xdr:col>9</xdr:col>
      <xdr:colOff>561975</xdr:colOff>
      <xdr:row>77</xdr:row>
      <xdr:rowOff>104775</xdr:rowOff>
    </xdr:to>
    <xdr:sp macro="" textlink="">
      <xdr:nvSpPr>
        <xdr:cNvPr id="11" name="Line 13"/>
        <xdr:cNvSpPr>
          <a:spLocks noChangeShapeType="1"/>
        </xdr:cNvSpPr>
      </xdr:nvSpPr>
      <xdr:spPr bwMode="auto">
        <a:xfrm flipV="1">
          <a:off x="6048375" y="10439400"/>
          <a:ext cx="0" cy="21336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200025</xdr:colOff>
      <xdr:row>64</xdr:row>
      <xdr:rowOff>76200</xdr:rowOff>
    </xdr:from>
    <xdr:to>
      <xdr:col>13</xdr:col>
      <xdr:colOff>200025</xdr:colOff>
      <xdr:row>77</xdr:row>
      <xdr:rowOff>19050</xdr:rowOff>
    </xdr:to>
    <xdr:sp macro="" textlink="">
      <xdr:nvSpPr>
        <xdr:cNvPr id="12" name="Line 14"/>
        <xdr:cNvSpPr>
          <a:spLocks noChangeShapeType="1"/>
        </xdr:cNvSpPr>
      </xdr:nvSpPr>
      <xdr:spPr bwMode="auto">
        <a:xfrm flipV="1">
          <a:off x="8124825" y="10439400"/>
          <a:ext cx="0" cy="204787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82</xdr:row>
      <xdr:rowOff>0</xdr:rowOff>
    </xdr:from>
    <xdr:to>
      <xdr:col>0</xdr:col>
      <xdr:colOff>333375</xdr:colOff>
      <xdr:row>92</xdr:row>
      <xdr:rowOff>0</xdr:rowOff>
    </xdr:to>
    <xdr:sp macro="" textlink="">
      <xdr:nvSpPr>
        <xdr:cNvPr id="13" name="Text 98">
          <a:extLst/>
        </xdr:cNvPr>
        <xdr:cNvSpPr txBox="1">
          <a:spLocks noChangeArrowheads="1"/>
        </xdr:cNvSpPr>
      </xdr:nvSpPr>
      <xdr:spPr bwMode="auto">
        <a:xfrm>
          <a:off x="0" y="13277850"/>
          <a:ext cx="333375" cy="1619250"/>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0">
            <a:defRPr sz="1000"/>
          </a:pPr>
          <a:endParaRPr lang="ru-RU" sz="1000" b="1" i="0" u="none" strike="noStrike" baseline="0">
            <a:solidFill>
              <a:srgbClr val="FFFFFF"/>
            </a:solidFill>
            <a:latin typeface="Arial"/>
            <a:cs typeface="Arial"/>
          </a:endParaRPr>
        </a:p>
        <a:p>
          <a:pPr algn="ctr" rtl="0">
            <a:defRPr sz="1000"/>
          </a:pPr>
          <a:r>
            <a:rPr lang="ru-RU" sz="1000" b="1" i="0" u="none" strike="noStrike" baseline="0">
              <a:solidFill>
                <a:srgbClr val="FFFFFF"/>
              </a:solidFill>
              <a:latin typeface="Arial"/>
              <a:cs typeface="Arial"/>
            </a:rPr>
            <a:t>З</a:t>
          </a:r>
        </a:p>
        <a:p>
          <a:pPr algn="ctr" rtl="0">
            <a:defRPr sz="1000"/>
          </a:pPr>
          <a:r>
            <a:rPr lang="ru-RU" sz="1000" b="1" i="0" u="none" strike="noStrike" baseline="0">
              <a:solidFill>
                <a:srgbClr val="FFFFFF"/>
              </a:solidFill>
              <a:latin typeface="Arial"/>
              <a:cs typeface="Arial"/>
            </a:rPr>
            <a:t>А</a:t>
          </a:r>
        </a:p>
        <a:p>
          <a:pPr algn="ctr" rtl="0">
            <a:defRPr sz="1000"/>
          </a:pPr>
          <a:r>
            <a:rPr lang="ru-RU" sz="1000" b="1" i="0" u="none" strike="noStrike" baseline="0">
              <a:solidFill>
                <a:srgbClr val="FFFFFF"/>
              </a:solidFill>
              <a:latin typeface="Arial"/>
              <a:cs typeface="Arial"/>
            </a:rPr>
            <a:t>М</a:t>
          </a:r>
        </a:p>
        <a:p>
          <a:pPr algn="ctr" rtl="0">
            <a:defRPr sz="1000"/>
          </a:pPr>
          <a:r>
            <a:rPr lang="ru-RU" sz="1000" b="1" i="0" u="none" strike="noStrike" baseline="0">
              <a:solidFill>
                <a:srgbClr val="FFFFFF"/>
              </a:solidFill>
              <a:latin typeface="Arial"/>
              <a:cs typeface="Arial"/>
            </a:rPr>
            <a:t>Е</a:t>
          </a:r>
        </a:p>
        <a:p>
          <a:pPr algn="ctr" rtl="0">
            <a:defRPr sz="1000"/>
          </a:pPr>
          <a:r>
            <a:rPr lang="ru-RU" sz="1000" b="1" i="0" u="none" strike="noStrike" baseline="0">
              <a:solidFill>
                <a:srgbClr val="FFFFFF"/>
              </a:solidFill>
              <a:latin typeface="Arial"/>
              <a:cs typeface="Arial"/>
            </a:rPr>
            <a:t>Р</a:t>
          </a:r>
        </a:p>
        <a:p>
          <a:pPr algn="ctr" rtl="0">
            <a:defRPr sz="1000"/>
          </a:pPr>
          <a:r>
            <a:rPr lang="ru-RU" sz="1000" b="1" i="0" u="none" strike="noStrike" baseline="0">
              <a:solidFill>
                <a:srgbClr val="FFFFFF"/>
              </a:solidFill>
              <a:latin typeface="Arial"/>
              <a:cs typeface="Arial"/>
            </a:rPr>
            <a:t>Ы</a:t>
          </a:r>
        </a:p>
        <a:p>
          <a:pPr algn="ctr" rtl="0">
            <a:defRPr sz="1000"/>
          </a:pPr>
          <a:endParaRPr lang="ru-RU" sz="1000" b="1" i="0" u="none" strike="noStrike" baseline="0">
            <a:solidFill>
              <a:srgbClr val="FFFFFF"/>
            </a:solidFill>
            <a:latin typeface="Arial"/>
            <a:cs typeface="Arial"/>
          </a:endParaRPr>
        </a:p>
        <a:p>
          <a:pPr algn="ctr" rtl="0">
            <a:defRPr sz="1000"/>
          </a:pPr>
          <a:endParaRPr lang="ru-RU" sz="1000" b="1" i="0" u="none" strike="noStrike" baseline="0">
            <a:solidFill>
              <a:srgbClr val="FFFFFF"/>
            </a:solidFill>
            <a:latin typeface="Arial"/>
            <a:cs typeface="Arial"/>
          </a:endParaRPr>
        </a:p>
      </xdr:txBody>
    </xdr:sp>
    <xdr:clientData/>
  </xdr:twoCellAnchor>
  <xdr:twoCellAnchor>
    <xdr:from>
      <xdr:col>0</xdr:col>
      <xdr:colOff>0</xdr:colOff>
      <xdr:row>95</xdr:row>
      <xdr:rowOff>0</xdr:rowOff>
    </xdr:from>
    <xdr:to>
      <xdr:col>0</xdr:col>
      <xdr:colOff>333375</xdr:colOff>
      <xdr:row>105</xdr:row>
      <xdr:rowOff>0</xdr:rowOff>
    </xdr:to>
    <xdr:sp macro="" textlink="">
      <xdr:nvSpPr>
        <xdr:cNvPr id="14" name="Text 100">
          <a:extLst/>
        </xdr:cNvPr>
        <xdr:cNvSpPr txBox="1">
          <a:spLocks noChangeArrowheads="1"/>
        </xdr:cNvSpPr>
      </xdr:nvSpPr>
      <xdr:spPr bwMode="auto">
        <a:xfrm>
          <a:off x="0" y="15382875"/>
          <a:ext cx="333375" cy="1619250"/>
        </a:xfrm>
        <a:prstGeom prst="rect">
          <a:avLst/>
        </a:prstGeom>
        <a:solidFill>
          <a:srgbClr val="000000"/>
        </a:solidFill>
        <a:ln w="9525">
          <a:solidFill>
            <a:srgbClr val="000000"/>
          </a:solidFill>
          <a:miter lim="800000"/>
          <a:headEnd/>
          <a:tailEnd/>
        </a:ln>
      </xdr:spPr>
      <xdr:txBody>
        <a:bodyPr vertOverflow="clip" wrap="square" lIns="27432" tIns="22860" rIns="27432" bIns="0" anchor="t" upright="1"/>
        <a:lstStyle/>
        <a:p>
          <a:pPr algn="ctr" rtl="0">
            <a:defRPr sz="1000"/>
          </a:pPr>
          <a:endParaRPr lang="ru-RU" sz="1000" b="1" i="0" u="none" strike="noStrike" baseline="0">
            <a:solidFill>
              <a:srgbClr val="FFFFFF"/>
            </a:solidFill>
            <a:latin typeface="Arial"/>
            <a:cs typeface="Arial"/>
          </a:endParaRPr>
        </a:p>
        <a:p>
          <a:pPr algn="ctr" rtl="0">
            <a:defRPr sz="1000"/>
          </a:pPr>
          <a:r>
            <a:rPr lang="ru-RU" sz="1000" b="1" i="0" u="none" strike="noStrike" baseline="0">
              <a:solidFill>
                <a:srgbClr val="FFFFFF"/>
              </a:solidFill>
              <a:latin typeface="Arial"/>
              <a:cs typeface="Arial"/>
            </a:rPr>
            <a:t>З</a:t>
          </a:r>
        </a:p>
        <a:p>
          <a:pPr algn="ctr" rtl="0">
            <a:defRPr sz="1000"/>
          </a:pPr>
          <a:r>
            <a:rPr lang="ru-RU" sz="1000" b="1" i="0" u="none" strike="noStrike" baseline="0">
              <a:solidFill>
                <a:srgbClr val="FFFFFF"/>
              </a:solidFill>
              <a:latin typeface="Arial"/>
              <a:cs typeface="Arial"/>
            </a:rPr>
            <a:t>А</a:t>
          </a:r>
        </a:p>
        <a:p>
          <a:pPr algn="ctr" rtl="0">
            <a:defRPr sz="1000"/>
          </a:pPr>
          <a:r>
            <a:rPr lang="ru-RU" sz="1000" b="1" i="0" u="none" strike="noStrike" baseline="0">
              <a:solidFill>
                <a:srgbClr val="FFFFFF"/>
              </a:solidFill>
              <a:latin typeface="Arial"/>
              <a:cs typeface="Arial"/>
            </a:rPr>
            <a:t>М</a:t>
          </a:r>
        </a:p>
        <a:p>
          <a:pPr algn="ctr" rtl="0">
            <a:defRPr sz="1000"/>
          </a:pPr>
          <a:r>
            <a:rPr lang="ru-RU" sz="1000" b="1" i="0" u="none" strike="noStrike" baseline="0">
              <a:solidFill>
                <a:srgbClr val="FFFFFF"/>
              </a:solidFill>
              <a:latin typeface="Arial"/>
              <a:cs typeface="Arial"/>
            </a:rPr>
            <a:t>Е</a:t>
          </a:r>
        </a:p>
        <a:p>
          <a:pPr algn="ctr" rtl="0">
            <a:defRPr sz="1000"/>
          </a:pPr>
          <a:r>
            <a:rPr lang="ru-RU" sz="1000" b="1" i="0" u="none" strike="noStrike" baseline="0">
              <a:solidFill>
                <a:srgbClr val="FFFFFF"/>
              </a:solidFill>
              <a:latin typeface="Arial"/>
              <a:cs typeface="Arial"/>
            </a:rPr>
            <a:t>Р</a:t>
          </a:r>
        </a:p>
        <a:p>
          <a:pPr algn="ctr" rtl="0">
            <a:defRPr sz="1000"/>
          </a:pPr>
          <a:r>
            <a:rPr lang="ru-RU" sz="1000" b="1" i="0" u="none" strike="noStrike" baseline="0">
              <a:solidFill>
                <a:srgbClr val="FFFFFF"/>
              </a:solidFill>
              <a:latin typeface="Arial"/>
              <a:cs typeface="Arial"/>
            </a:rPr>
            <a:t>Ы</a:t>
          </a:r>
        </a:p>
        <a:p>
          <a:pPr algn="ctr" rtl="0">
            <a:defRPr sz="1000"/>
          </a:pPr>
          <a:endParaRPr lang="ru-RU" sz="1000" b="1" i="0" u="none" strike="noStrike" baseline="0">
            <a:solidFill>
              <a:srgbClr val="FFFFFF"/>
            </a:solidFill>
            <a:latin typeface="Arial"/>
            <a:cs typeface="Arial"/>
          </a:endParaRPr>
        </a:p>
      </xdr:txBody>
    </xdr:sp>
    <xdr:clientData/>
  </xdr:twoCellAnchor>
  <xdr:twoCellAnchor>
    <xdr:from>
      <xdr:col>6</xdr:col>
      <xdr:colOff>0</xdr:colOff>
      <xdr:row>0</xdr:row>
      <xdr:rowOff>0</xdr:rowOff>
    </xdr:from>
    <xdr:to>
      <xdr:col>14</xdr:col>
      <xdr:colOff>0</xdr:colOff>
      <xdr:row>1</xdr:row>
      <xdr:rowOff>0</xdr:rowOff>
    </xdr:to>
    <xdr:sp macro="" textlink="">
      <xdr:nvSpPr>
        <xdr:cNvPr id="15" name="Rectangle 17"/>
        <xdr:cNvSpPr>
          <a:spLocks noChangeArrowheads="1"/>
        </xdr:cNvSpPr>
      </xdr:nvSpPr>
      <xdr:spPr bwMode="auto">
        <a:xfrm>
          <a:off x="3657600" y="0"/>
          <a:ext cx="4876800" cy="161925"/>
        </a:xfrm>
        <a:prstGeom prst="rect">
          <a:avLst/>
        </a:prstGeom>
        <a:noFill/>
        <a:ln w="9525">
          <a:solidFill>
            <a:srgbClr val="000000"/>
          </a:solidFill>
          <a:miter lim="800000"/>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2</xdr:row>
          <xdr:rowOff>28575</xdr:rowOff>
        </xdr:from>
        <xdr:to>
          <xdr:col>2</xdr:col>
          <xdr:colOff>571500</xdr:colOff>
          <xdr:row>2</xdr:row>
          <xdr:rowOff>247650</xdr:rowOff>
        </xdr:to>
        <xdr:sp macro="" textlink="">
          <xdr:nvSpPr>
            <xdr:cNvPr id="44049" name="Option Button 17" hidden="1">
              <a:extLst>
                <a:ext uri="{63B3BB69-23CF-44E3-9099-C40C66FF867C}">
                  <a14:compatExt spid="_x0000_s440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Двусторонний допуск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2</xdr:row>
          <xdr:rowOff>28575</xdr:rowOff>
        </xdr:from>
        <xdr:to>
          <xdr:col>5</xdr:col>
          <xdr:colOff>485775</xdr:colOff>
          <xdr:row>2</xdr:row>
          <xdr:rowOff>247650</xdr:rowOff>
        </xdr:to>
        <xdr:sp macro="" textlink="">
          <xdr:nvSpPr>
            <xdr:cNvPr id="44050" name="Option Button 18" hidden="1">
              <a:extLst>
                <a:ext uri="{63B3BB69-23CF-44E3-9099-C40C66FF867C}">
                  <a14:compatExt spid="_x0000_s440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Односторонний (МИНИМУМ)</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xdr:row>
          <xdr:rowOff>28575</xdr:rowOff>
        </xdr:from>
        <xdr:to>
          <xdr:col>8</xdr:col>
          <xdr:colOff>485775</xdr:colOff>
          <xdr:row>2</xdr:row>
          <xdr:rowOff>247650</xdr:rowOff>
        </xdr:to>
        <xdr:sp macro="" textlink="">
          <xdr:nvSpPr>
            <xdr:cNvPr id="44051" name="Option Button 19" hidden="1">
              <a:extLst>
                <a:ext uri="{63B3BB69-23CF-44E3-9099-C40C66FF867C}">
                  <a14:compatExt spid="_x0000_s440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Односторонний (МАКСИМУМ)</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1485900</xdr:colOff>
      <xdr:row>0</xdr:row>
      <xdr:rowOff>0</xdr:rowOff>
    </xdr:from>
    <xdr:to>
      <xdr:col>2</xdr:col>
      <xdr:colOff>1162050</xdr:colOff>
      <xdr:row>2</xdr:row>
      <xdr:rowOff>161925</xdr:rowOff>
    </xdr:to>
    <xdr:sp macro="" textlink="">
      <xdr:nvSpPr>
        <xdr:cNvPr id="31745" name="Text 2"/>
        <xdr:cNvSpPr txBox="1">
          <a:spLocks noChangeArrowheads="1"/>
        </xdr:cNvSpPr>
      </xdr:nvSpPr>
      <xdr:spPr bwMode="auto">
        <a:xfrm>
          <a:off x="2095500" y="0"/>
          <a:ext cx="2057400" cy="495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18288" rIns="18288" bIns="0" anchor="t" upright="1"/>
        <a:lstStyle/>
        <a:p>
          <a:pPr algn="ctr" rtl="0">
            <a:defRPr sz="1000"/>
          </a:pPr>
          <a:endParaRPr lang="ru-RU" sz="1000" b="1" i="0" u="none" strike="noStrike" baseline="0">
            <a:solidFill>
              <a:srgbClr val="000000"/>
            </a:solidFill>
            <a:latin typeface="Arial"/>
            <a:cs typeface="Arial"/>
          </a:endParaRPr>
        </a:p>
        <a:p>
          <a:pPr algn="ctr" rtl="0">
            <a:defRPr sz="1000"/>
          </a:pPr>
          <a:r>
            <a:rPr lang="ru-RU" sz="1000" b="1" i="0" u="none" strike="noStrike" baseline="0">
              <a:solidFill>
                <a:srgbClr val="000000"/>
              </a:solidFill>
              <a:latin typeface="Arial"/>
              <a:cs typeface="Arial"/>
            </a:rPr>
            <a:t>Результаты проверки геометрических параметров</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2171700</xdr:colOff>
      <xdr:row>0</xdr:row>
      <xdr:rowOff>9525</xdr:rowOff>
    </xdr:from>
    <xdr:to>
      <xdr:col>4</xdr:col>
      <xdr:colOff>666750</xdr:colOff>
      <xdr:row>2</xdr:row>
      <xdr:rowOff>114300</xdr:rowOff>
    </xdr:to>
    <xdr:sp macro="" textlink="">
      <xdr:nvSpPr>
        <xdr:cNvPr id="32769" name="Text 2"/>
        <xdr:cNvSpPr txBox="1">
          <a:spLocks noChangeArrowheads="1"/>
        </xdr:cNvSpPr>
      </xdr:nvSpPr>
      <xdr:spPr bwMode="auto">
        <a:xfrm>
          <a:off x="2781300" y="9525"/>
          <a:ext cx="2571750" cy="457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22860" rIns="27432" bIns="0" anchor="t" upright="1"/>
        <a:lstStyle/>
        <a:p>
          <a:pPr algn="ctr" rtl="0">
            <a:defRPr sz="1000"/>
          </a:pPr>
          <a:r>
            <a:rPr lang="ru-RU" sz="1000" b="1" i="0" u="none" strike="noStrike" baseline="0">
              <a:solidFill>
                <a:srgbClr val="000000"/>
              </a:solidFill>
              <a:latin typeface="Arial"/>
              <a:cs typeface="Arial"/>
            </a:rPr>
            <a:t>Результаты испытания эксплуатационных характеристик</a:t>
          </a:r>
          <a:endParaRPr lang="ru-RU" sz="1200" b="0" i="0" u="none" strike="noStrike" baseline="0">
            <a:solidFill>
              <a:srgbClr val="000000"/>
            </a:solidFill>
            <a:latin typeface="Arial"/>
            <a:cs typeface="Arial"/>
          </a:endParaRPr>
        </a:p>
        <a:p>
          <a:pPr algn="ctr" rtl="0">
            <a:defRPr sz="1000"/>
          </a:pPr>
          <a:endParaRPr lang="ru-RU" sz="12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1.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2" Type="http://schemas.openxmlformats.org/officeDocument/2006/relationships/customProperty" Target="../customProperty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omments" Target="../comments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7.xml"/><Relationship Id="rId3" Type="http://schemas.openxmlformats.org/officeDocument/2006/relationships/drawing" Target="../drawings/drawing11.xml"/><Relationship Id="rId7" Type="http://schemas.openxmlformats.org/officeDocument/2006/relationships/ctrlProp" Target="../ctrlProps/ctrlProp46.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vmlDrawing" Target="../drawings/vmlDrawing5.vml"/><Relationship Id="rId9" Type="http://schemas.openxmlformats.org/officeDocument/2006/relationships/ctrlProp" Target="../ctrlProps/ctrlProp48.xml"/></Relationships>
</file>

<file path=xl/worksheets/_rels/sheet13.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image" Target="../media/image7.emf"/><Relationship Id="rId26" Type="http://schemas.openxmlformats.org/officeDocument/2006/relationships/image" Target="../media/image11.emf"/><Relationship Id="rId39" Type="http://schemas.openxmlformats.org/officeDocument/2006/relationships/image" Target="../media/image16.emf"/><Relationship Id="rId21" Type="http://schemas.openxmlformats.org/officeDocument/2006/relationships/oleObject" Target="../embeddings/oleObject10.bin"/><Relationship Id="rId34" Type="http://schemas.openxmlformats.org/officeDocument/2006/relationships/oleObject" Target="../embeddings/oleObject18.bin"/><Relationship Id="rId42" Type="http://schemas.openxmlformats.org/officeDocument/2006/relationships/oleObject" Target="../embeddings/oleObject22.bin"/><Relationship Id="rId47" Type="http://schemas.openxmlformats.org/officeDocument/2006/relationships/image" Target="../media/image20.emf"/><Relationship Id="rId50" Type="http://schemas.openxmlformats.org/officeDocument/2006/relationships/oleObject" Target="../embeddings/oleObject26.bin"/><Relationship Id="rId55" Type="http://schemas.openxmlformats.org/officeDocument/2006/relationships/image" Target="../media/image24.emf"/><Relationship Id="rId63" Type="http://schemas.openxmlformats.org/officeDocument/2006/relationships/image" Target="../media/image28.emf"/><Relationship Id="rId68" Type="http://schemas.openxmlformats.org/officeDocument/2006/relationships/image" Target="../media/image30.emf"/><Relationship Id="rId76" Type="http://schemas.openxmlformats.org/officeDocument/2006/relationships/oleObject" Target="../embeddings/oleObject43.bin"/><Relationship Id="rId7" Type="http://schemas.openxmlformats.org/officeDocument/2006/relationships/oleObject" Target="../embeddings/oleObject2.bin"/><Relationship Id="rId71" Type="http://schemas.openxmlformats.org/officeDocument/2006/relationships/oleObject" Target="../embeddings/oleObject38.bin"/><Relationship Id="rId2" Type="http://schemas.openxmlformats.org/officeDocument/2006/relationships/customProperty" Target="../customProperty13.bin"/><Relationship Id="rId16" Type="http://schemas.openxmlformats.org/officeDocument/2006/relationships/image" Target="../media/image6.emf"/><Relationship Id="rId29" Type="http://schemas.openxmlformats.org/officeDocument/2006/relationships/oleObject" Target="../embeddings/oleObject14.bin"/><Relationship Id="rId11" Type="http://schemas.openxmlformats.org/officeDocument/2006/relationships/oleObject" Target="../embeddings/oleObject4.bin"/><Relationship Id="rId24" Type="http://schemas.openxmlformats.org/officeDocument/2006/relationships/image" Target="../media/image10.emf"/><Relationship Id="rId32" Type="http://schemas.openxmlformats.org/officeDocument/2006/relationships/image" Target="../media/image13.emf"/><Relationship Id="rId37" Type="http://schemas.openxmlformats.org/officeDocument/2006/relationships/image" Target="../media/image15.emf"/><Relationship Id="rId40" Type="http://schemas.openxmlformats.org/officeDocument/2006/relationships/oleObject" Target="../embeddings/oleObject21.bin"/><Relationship Id="rId45" Type="http://schemas.openxmlformats.org/officeDocument/2006/relationships/image" Target="../media/image19.emf"/><Relationship Id="rId53" Type="http://schemas.openxmlformats.org/officeDocument/2006/relationships/image" Target="../media/image23.emf"/><Relationship Id="rId58" Type="http://schemas.openxmlformats.org/officeDocument/2006/relationships/oleObject" Target="../embeddings/oleObject30.bin"/><Relationship Id="rId66" Type="http://schemas.openxmlformats.org/officeDocument/2006/relationships/image" Target="../media/image29.emf"/><Relationship Id="rId74" Type="http://schemas.openxmlformats.org/officeDocument/2006/relationships/oleObject" Target="../embeddings/oleObject41.bin"/><Relationship Id="rId79" Type="http://schemas.openxmlformats.org/officeDocument/2006/relationships/oleObject" Target="../embeddings/oleObject46.bin"/><Relationship Id="rId5" Type="http://schemas.openxmlformats.org/officeDocument/2006/relationships/oleObject" Target="../embeddings/oleObject1.bin"/><Relationship Id="rId61" Type="http://schemas.openxmlformats.org/officeDocument/2006/relationships/image" Target="../media/image27.emf"/><Relationship Id="rId10" Type="http://schemas.openxmlformats.org/officeDocument/2006/relationships/image" Target="../media/image4.emf"/><Relationship Id="rId19" Type="http://schemas.openxmlformats.org/officeDocument/2006/relationships/oleObject" Target="../embeddings/oleObject9.bin"/><Relationship Id="rId31" Type="http://schemas.openxmlformats.org/officeDocument/2006/relationships/oleObject" Target="../embeddings/oleObject16.bin"/><Relationship Id="rId44" Type="http://schemas.openxmlformats.org/officeDocument/2006/relationships/oleObject" Target="../embeddings/oleObject23.bin"/><Relationship Id="rId52" Type="http://schemas.openxmlformats.org/officeDocument/2006/relationships/oleObject" Target="../embeddings/oleObject27.bin"/><Relationship Id="rId60" Type="http://schemas.openxmlformats.org/officeDocument/2006/relationships/oleObject" Target="../embeddings/oleObject31.bin"/><Relationship Id="rId65" Type="http://schemas.openxmlformats.org/officeDocument/2006/relationships/oleObject" Target="../embeddings/oleObject34.bin"/><Relationship Id="rId73" Type="http://schemas.openxmlformats.org/officeDocument/2006/relationships/oleObject" Target="../embeddings/oleObject40.bin"/><Relationship Id="rId78" Type="http://schemas.openxmlformats.org/officeDocument/2006/relationships/oleObject" Target="../embeddings/oleObject45.bin"/><Relationship Id="rId4" Type="http://schemas.openxmlformats.org/officeDocument/2006/relationships/vmlDrawing" Target="../drawings/vmlDrawing6.vml"/><Relationship Id="rId9" Type="http://schemas.openxmlformats.org/officeDocument/2006/relationships/oleObject" Target="../embeddings/oleObject3.bin"/><Relationship Id="rId14" Type="http://schemas.openxmlformats.org/officeDocument/2006/relationships/image" Target="../media/image5.emf"/><Relationship Id="rId22" Type="http://schemas.openxmlformats.org/officeDocument/2006/relationships/image" Target="../media/image9.emf"/><Relationship Id="rId27" Type="http://schemas.openxmlformats.org/officeDocument/2006/relationships/oleObject" Target="../embeddings/oleObject13.bin"/><Relationship Id="rId30" Type="http://schemas.openxmlformats.org/officeDocument/2006/relationships/oleObject" Target="../embeddings/oleObject15.bin"/><Relationship Id="rId35" Type="http://schemas.openxmlformats.org/officeDocument/2006/relationships/image" Target="../media/image14.emf"/><Relationship Id="rId43" Type="http://schemas.openxmlformats.org/officeDocument/2006/relationships/image" Target="../media/image18.emf"/><Relationship Id="rId48" Type="http://schemas.openxmlformats.org/officeDocument/2006/relationships/oleObject" Target="../embeddings/oleObject25.bin"/><Relationship Id="rId56" Type="http://schemas.openxmlformats.org/officeDocument/2006/relationships/oleObject" Target="../embeddings/oleObject29.bin"/><Relationship Id="rId64" Type="http://schemas.openxmlformats.org/officeDocument/2006/relationships/oleObject" Target="../embeddings/oleObject33.bin"/><Relationship Id="rId69" Type="http://schemas.openxmlformats.org/officeDocument/2006/relationships/oleObject" Target="../embeddings/oleObject36.bin"/><Relationship Id="rId77" Type="http://schemas.openxmlformats.org/officeDocument/2006/relationships/oleObject" Target="../embeddings/oleObject44.bin"/><Relationship Id="rId8" Type="http://schemas.openxmlformats.org/officeDocument/2006/relationships/image" Target="../media/image3.emf"/><Relationship Id="rId51" Type="http://schemas.openxmlformats.org/officeDocument/2006/relationships/image" Target="../media/image22.emf"/><Relationship Id="rId72" Type="http://schemas.openxmlformats.org/officeDocument/2006/relationships/oleObject" Target="../embeddings/oleObject39.bin"/><Relationship Id="rId80" Type="http://schemas.openxmlformats.org/officeDocument/2006/relationships/comments" Target="../comments5.xml"/><Relationship Id="rId3" Type="http://schemas.openxmlformats.org/officeDocument/2006/relationships/drawing" Target="../drawings/drawing12.xml"/><Relationship Id="rId12" Type="http://schemas.openxmlformats.org/officeDocument/2006/relationships/oleObject" Target="../embeddings/oleObject5.bin"/><Relationship Id="rId17" Type="http://schemas.openxmlformats.org/officeDocument/2006/relationships/oleObject" Target="../embeddings/oleObject8.bin"/><Relationship Id="rId25" Type="http://schemas.openxmlformats.org/officeDocument/2006/relationships/oleObject" Target="../embeddings/oleObject12.bin"/><Relationship Id="rId33" Type="http://schemas.openxmlformats.org/officeDocument/2006/relationships/oleObject" Target="../embeddings/oleObject17.bin"/><Relationship Id="rId38" Type="http://schemas.openxmlformats.org/officeDocument/2006/relationships/oleObject" Target="../embeddings/oleObject20.bin"/><Relationship Id="rId46" Type="http://schemas.openxmlformats.org/officeDocument/2006/relationships/oleObject" Target="../embeddings/oleObject24.bin"/><Relationship Id="rId59" Type="http://schemas.openxmlformats.org/officeDocument/2006/relationships/image" Target="../media/image26.emf"/><Relationship Id="rId67" Type="http://schemas.openxmlformats.org/officeDocument/2006/relationships/oleObject" Target="../embeddings/oleObject35.bin"/><Relationship Id="rId20" Type="http://schemas.openxmlformats.org/officeDocument/2006/relationships/image" Target="../media/image8.emf"/><Relationship Id="rId41" Type="http://schemas.openxmlformats.org/officeDocument/2006/relationships/image" Target="../media/image17.emf"/><Relationship Id="rId54" Type="http://schemas.openxmlformats.org/officeDocument/2006/relationships/oleObject" Target="../embeddings/oleObject28.bin"/><Relationship Id="rId62" Type="http://schemas.openxmlformats.org/officeDocument/2006/relationships/oleObject" Target="../embeddings/oleObject32.bin"/><Relationship Id="rId70" Type="http://schemas.openxmlformats.org/officeDocument/2006/relationships/oleObject" Target="../embeddings/oleObject37.bin"/><Relationship Id="rId75" Type="http://schemas.openxmlformats.org/officeDocument/2006/relationships/oleObject" Target="../embeddings/oleObject42.bin"/><Relationship Id="rId1" Type="http://schemas.openxmlformats.org/officeDocument/2006/relationships/printerSettings" Target="../printerSettings/printerSettings13.bin"/><Relationship Id="rId6" Type="http://schemas.openxmlformats.org/officeDocument/2006/relationships/image" Target="../media/image2.emf"/><Relationship Id="rId15" Type="http://schemas.openxmlformats.org/officeDocument/2006/relationships/oleObject" Target="../embeddings/oleObject7.bin"/><Relationship Id="rId23" Type="http://schemas.openxmlformats.org/officeDocument/2006/relationships/oleObject" Target="../embeddings/oleObject11.bin"/><Relationship Id="rId28" Type="http://schemas.openxmlformats.org/officeDocument/2006/relationships/image" Target="../media/image12.emf"/><Relationship Id="rId36" Type="http://schemas.openxmlformats.org/officeDocument/2006/relationships/oleObject" Target="../embeddings/oleObject19.bin"/><Relationship Id="rId49" Type="http://schemas.openxmlformats.org/officeDocument/2006/relationships/image" Target="../media/image21.emf"/><Relationship Id="rId57" Type="http://schemas.openxmlformats.org/officeDocument/2006/relationships/image" Target="../media/image25.emf"/></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9.bin"/><Relationship Id="rId1" Type="http://schemas.openxmlformats.org/officeDocument/2006/relationships/printerSettings" Target="../printerSettings/printerSettings18.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7" Type="http://schemas.openxmlformats.org/officeDocument/2006/relationships/comments" Target="../comments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drawing" Target="../drawings/drawing6.xml"/><Relationship Id="rId7" Type="http://schemas.openxmlformats.org/officeDocument/2006/relationships/ctrlProp" Target="../ctrlProps/ctrlProp40.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drawing" Target="../drawings/drawing7.xml"/><Relationship Id="rId7" Type="http://schemas.openxmlformats.org/officeDocument/2006/relationships/ctrlProp" Target="../ctrlProps/ctrlProp43.x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71"/>
  <sheetViews>
    <sheetView showGridLines="0" tabSelected="1" workbookViewId="0">
      <selection activeCell="I16" sqref="I16"/>
    </sheetView>
  </sheetViews>
  <sheetFormatPr defaultRowHeight="12.75"/>
  <cols>
    <col min="1" max="2" width="10.7109375" style="23" customWidth="1"/>
    <col min="3" max="3" width="12.85546875" style="23" customWidth="1"/>
    <col min="4" max="6" width="10.7109375" style="23" customWidth="1"/>
    <col min="7" max="7" width="7.42578125" style="23" customWidth="1"/>
    <col min="8" max="9" width="10.7109375" style="23" customWidth="1"/>
    <col min="10" max="10" width="14.85546875" style="23" customWidth="1"/>
    <col min="11" max="16384" width="9.140625" style="23"/>
  </cols>
  <sheetData>
    <row r="1" spans="1:11" ht="20.25" customHeight="1">
      <c r="A1" s="3"/>
      <c r="B1" s="3"/>
      <c r="C1" s="3"/>
      <c r="D1" s="443" t="s">
        <v>728</v>
      </c>
      <c r="E1" s="4"/>
      <c r="F1" s="4"/>
      <c r="G1" s="4"/>
      <c r="H1" s="451"/>
      <c r="I1" s="1052" t="s">
        <v>796</v>
      </c>
      <c r="J1" s="1053"/>
      <c r="K1" s="173"/>
    </row>
    <row r="2" spans="1:11" s="24" customFormat="1" ht="8.25">
      <c r="A2" s="171"/>
      <c r="B2" s="26"/>
      <c r="C2" s="26"/>
      <c r="D2" s="26"/>
      <c r="E2" s="26"/>
      <c r="F2" s="26"/>
      <c r="G2" s="26"/>
      <c r="H2" s="26"/>
      <c r="I2" s="1052"/>
      <c r="J2" s="1053"/>
      <c r="K2" s="174"/>
    </row>
    <row r="3" spans="1:11" s="24" customFormat="1" ht="11.25">
      <c r="A3" s="265"/>
      <c r="B3" s="265"/>
      <c r="C3" s="265"/>
      <c r="D3" s="265"/>
      <c r="E3" s="172"/>
      <c r="F3" s="265"/>
      <c r="G3" s="265"/>
      <c r="H3" s="265"/>
      <c r="I3" s="1054"/>
      <c r="J3" s="1055"/>
      <c r="K3" s="174"/>
    </row>
    <row r="4" spans="1:11" s="24" customFormat="1" ht="8.25" customHeight="1">
      <c r="A4" s="257" t="s">
        <v>253</v>
      </c>
      <c r="B4" s="258"/>
      <c r="C4" s="258"/>
      <c r="D4" s="258"/>
      <c r="E4" s="258"/>
      <c r="F4" s="258"/>
      <c r="G4" s="266"/>
      <c r="H4" s="257" t="s">
        <v>254</v>
      </c>
      <c r="I4" s="258"/>
      <c r="J4" s="8"/>
      <c r="K4" s="174"/>
    </row>
    <row r="5" spans="1:11">
      <c r="A5" s="267" t="s">
        <v>0</v>
      </c>
      <c r="B5" s="145"/>
      <c r="C5" s="145"/>
      <c r="D5" s="145"/>
      <c r="E5" s="145"/>
      <c r="F5" s="145"/>
      <c r="G5" s="268"/>
      <c r="H5" s="267" t="s">
        <v>0</v>
      </c>
      <c r="I5" s="145"/>
      <c r="J5" s="11"/>
      <c r="K5" s="173"/>
    </row>
    <row r="6" spans="1:11" s="24" customFormat="1" ht="11.25">
      <c r="A6" s="257" t="s">
        <v>722</v>
      </c>
      <c r="B6" s="258"/>
      <c r="C6" s="266"/>
      <c r="D6" s="258" t="s">
        <v>209</v>
      </c>
      <c r="E6" s="258"/>
      <c r="F6" s="266"/>
      <c r="G6" s="257" t="s">
        <v>721</v>
      </c>
      <c r="H6" s="258"/>
      <c r="I6" s="258"/>
      <c r="J6" s="8"/>
      <c r="K6" s="174"/>
    </row>
    <row r="7" spans="1:11" s="24" customFormat="1" ht="11.25">
      <c r="A7" s="272" t="s">
        <v>723</v>
      </c>
      <c r="B7" s="265"/>
      <c r="C7" s="273"/>
      <c r="D7" s="265"/>
      <c r="E7" s="265"/>
      <c r="F7" s="273"/>
      <c r="G7" s="272"/>
      <c r="H7" s="265"/>
      <c r="I7" s="265"/>
      <c r="J7" s="12"/>
      <c r="K7" s="174"/>
    </row>
    <row r="8" spans="1:11" s="24" customFormat="1" ht="11.25">
      <c r="A8" s="272"/>
      <c r="B8" s="265"/>
      <c r="C8" s="273"/>
      <c r="D8" s="265"/>
      <c r="E8" s="265"/>
      <c r="F8" s="273"/>
      <c r="G8" s="272"/>
      <c r="H8" s="265"/>
      <c r="I8" s="265"/>
      <c r="J8" s="12"/>
      <c r="K8" s="174"/>
    </row>
    <row r="9" spans="1:11" ht="15" customHeight="1">
      <c r="A9" s="259"/>
      <c r="B9" s="145"/>
      <c r="C9" s="268"/>
      <c r="D9" s="444"/>
      <c r="E9" s="145"/>
      <c r="F9" s="268"/>
      <c r="G9" s="269" t="s">
        <v>0</v>
      </c>
      <c r="H9" s="270"/>
      <c r="I9" s="270"/>
      <c r="J9" s="57"/>
      <c r="K9" s="173"/>
    </row>
    <row r="10" spans="1:11" s="24" customFormat="1" ht="11.25">
      <c r="A10" s="257" t="s">
        <v>28</v>
      </c>
      <c r="B10" s="258"/>
      <c r="C10" s="258"/>
      <c r="D10" s="258"/>
      <c r="E10" s="258"/>
      <c r="F10" s="266"/>
      <c r="G10" s="257" t="s">
        <v>210</v>
      </c>
      <c r="H10" s="258"/>
      <c r="I10" s="258"/>
      <c r="J10" s="8"/>
      <c r="K10" s="174"/>
    </row>
    <row r="11" spans="1:11">
      <c r="A11" s="156" t="s">
        <v>1</v>
      </c>
      <c r="B11" s="145"/>
      <c r="C11" s="145"/>
      <c r="D11" s="145"/>
      <c r="E11" s="145"/>
      <c r="F11" s="268"/>
      <c r="G11" s="269" t="s">
        <v>1</v>
      </c>
      <c r="H11" s="270"/>
      <c r="I11" s="270"/>
      <c r="J11" s="57"/>
      <c r="K11" s="173"/>
    </row>
    <row r="12" spans="1:11" s="24" customFormat="1" ht="11.25">
      <c r="A12" s="257" t="s">
        <v>211</v>
      </c>
      <c r="B12" s="258"/>
      <c r="C12" s="258"/>
      <c r="D12" s="266"/>
      <c r="E12" s="257" t="s">
        <v>212</v>
      </c>
      <c r="F12" s="258"/>
      <c r="G12" s="266"/>
      <c r="H12" s="257" t="s">
        <v>29</v>
      </c>
      <c r="I12" s="258"/>
      <c r="J12" s="8"/>
      <c r="K12" s="174"/>
    </row>
    <row r="13" spans="1:11">
      <c r="A13" s="267"/>
      <c r="B13" s="145"/>
      <c r="C13" s="145"/>
      <c r="D13" s="268"/>
      <c r="E13" s="267" t="s">
        <v>1</v>
      </c>
      <c r="F13" s="145"/>
      <c r="G13" s="268"/>
      <c r="H13" s="271" t="s">
        <v>1</v>
      </c>
      <c r="I13" s="145"/>
      <c r="J13" s="155" t="s">
        <v>30</v>
      </c>
      <c r="K13" s="173"/>
    </row>
    <row r="14" spans="1:11" s="24" customFormat="1" ht="11.25">
      <c r="A14" s="257" t="s">
        <v>213</v>
      </c>
      <c r="B14" s="258"/>
      <c r="C14" s="258"/>
      <c r="D14" s="266"/>
      <c r="E14" s="257" t="s">
        <v>214</v>
      </c>
      <c r="F14" s="258"/>
      <c r="G14" s="266"/>
      <c r="H14" s="257" t="s">
        <v>215</v>
      </c>
      <c r="I14" s="258"/>
      <c r="J14" s="8"/>
      <c r="K14" s="174"/>
    </row>
    <row r="15" spans="1:11">
      <c r="A15" s="267" t="s">
        <v>1</v>
      </c>
      <c r="B15" s="145"/>
      <c r="C15" s="145"/>
      <c r="D15" s="268"/>
      <c r="E15" s="267" t="s">
        <v>1</v>
      </c>
      <c r="F15" s="145"/>
      <c r="G15" s="268"/>
      <c r="H15" s="269" t="s">
        <v>1</v>
      </c>
      <c r="I15" s="270"/>
      <c r="J15" s="193"/>
      <c r="K15" s="173"/>
    </row>
    <row r="16" spans="1:11" s="24" customFormat="1" ht="11.25">
      <c r="A16" s="53" t="s">
        <v>31</v>
      </c>
      <c r="B16" s="258"/>
      <c r="C16" s="258"/>
      <c r="D16" s="258"/>
      <c r="E16" s="266"/>
      <c r="F16" s="53" t="s">
        <v>216</v>
      </c>
      <c r="G16" s="258"/>
      <c r="H16" s="258"/>
      <c r="I16" s="258"/>
      <c r="J16" s="8"/>
      <c r="K16" s="174"/>
    </row>
    <row r="17" spans="1:11" s="24" customFormat="1" ht="11.25">
      <c r="A17" s="272"/>
      <c r="B17" s="265"/>
      <c r="C17" s="265"/>
      <c r="D17" s="265"/>
      <c r="E17" s="273"/>
      <c r="F17" s="272"/>
      <c r="G17" s="265"/>
      <c r="H17" s="265"/>
      <c r="I17" s="265"/>
      <c r="J17" s="12"/>
      <c r="K17" s="174"/>
    </row>
    <row r="18" spans="1:11" s="24" customFormat="1" ht="11.25">
      <c r="A18" s="272"/>
      <c r="B18" s="265"/>
      <c r="C18" s="265"/>
      <c r="D18" s="145"/>
      <c r="E18" s="273"/>
      <c r="F18" s="272"/>
      <c r="G18" s="265"/>
      <c r="H18" s="265"/>
      <c r="I18" s="265"/>
      <c r="J18" s="12"/>
      <c r="K18" s="174"/>
    </row>
    <row r="19" spans="1:11" s="24" customFormat="1" ht="11.25">
      <c r="A19" s="257" t="s">
        <v>220</v>
      </c>
      <c r="B19" s="258"/>
      <c r="C19" s="258"/>
      <c r="D19" s="265"/>
      <c r="E19" s="266"/>
      <c r="F19" s="257" t="s">
        <v>217</v>
      </c>
      <c r="G19" s="258"/>
      <c r="H19" s="258"/>
      <c r="I19" s="258"/>
      <c r="J19" s="8"/>
      <c r="K19" s="174"/>
    </row>
    <row r="20" spans="1:11">
      <c r="A20" s="156" t="s">
        <v>1</v>
      </c>
      <c r="B20" s="145"/>
      <c r="C20" s="145"/>
      <c r="D20" s="444" t="s">
        <v>1</v>
      </c>
      <c r="E20" s="268"/>
      <c r="F20" s="156" t="s">
        <v>1</v>
      </c>
      <c r="G20" s="145"/>
      <c r="H20" s="145"/>
      <c r="I20" s="145"/>
      <c r="J20" s="11"/>
      <c r="K20" s="173"/>
    </row>
    <row r="21" spans="1:11" s="24" customFormat="1" ht="11.25">
      <c r="A21" s="257" t="s">
        <v>748</v>
      </c>
      <c r="B21" s="258"/>
      <c r="C21" s="258"/>
      <c r="D21" s="265"/>
      <c r="E21" s="266"/>
      <c r="F21" s="257" t="s">
        <v>218</v>
      </c>
      <c r="G21" s="258"/>
      <c r="H21" s="258"/>
      <c r="I21" s="258"/>
      <c r="J21" s="8"/>
      <c r="K21" s="174"/>
    </row>
    <row r="22" spans="1:11">
      <c r="A22" s="156" t="s">
        <v>1</v>
      </c>
      <c r="B22" s="145"/>
      <c r="C22" s="145"/>
      <c r="D22" s="145"/>
      <c r="E22" s="268"/>
      <c r="F22" s="267" t="s">
        <v>1</v>
      </c>
      <c r="G22" s="145"/>
      <c r="H22" s="145"/>
      <c r="I22" s="145"/>
      <c r="J22" s="11"/>
      <c r="K22" s="173"/>
    </row>
    <row r="23" spans="1:11" s="24" customFormat="1" ht="11.25">
      <c r="A23" s="257" t="s">
        <v>219</v>
      </c>
      <c r="B23" s="258"/>
      <c r="C23" s="258"/>
      <c r="D23" s="258"/>
      <c r="E23" s="266"/>
      <c r="F23" s="257" t="s">
        <v>33</v>
      </c>
      <c r="G23" s="258"/>
      <c r="H23" s="258"/>
      <c r="I23" s="258"/>
      <c r="J23" s="8"/>
      <c r="K23" s="174"/>
    </row>
    <row r="24" spans="1:11">
      <c r="A24" s="9" t="s">
        <v>1</v>
      </c>
      <c r="B24" s="10"/>
      <c r="C24" s="10"/>
      <c r="D24" s="10"/>
      <c r="E24" s="11"/>
      <c r="F24" s="69" t="s">
        <v>0</v>
      </c>
      <c r="G24" s="10"/>
      <c r="H24" s="10"/>
      <c r="I24" s="10"/>
      <c r="J24" s="11"/>
      <c r="K24" s="173"/>
    </row>
    <row r="25" spans="1:11">
      <c r="A25" s="450" t="s">
        <v>724</v>
      </c>
      <c r="B25" s="451"/>
      <c r="C25" s="451"/>
      <c r="D25" s="451"/>
      <c r="E25" s="451"/>
      <c r="F25" s="452"/>
      <c r="G25" s="451"/>
      <c r="H25" s="451"/>
      <c r="I25" s="451"/>
      <c r="J25" s="453"/>
      <c r="K25" s="173"/>
    </row>
    <row r="26" spans="1:11">
      <c r="A26" s="454"/>
      <c r="B26" s="451" t="s">
        <v>725</v>
      </c>
      <c r="C26" s="451"/>
      <c r="D26" s="451"/>
      <c r="E26" s="451"/>
      <c r="F26" s="452"/>
      <c r="G26" s="451"/>
      <c r="H26" s="451"/>
      <c r="I26" s="451"/>
      <c r="J26" s="453"/>
      <c r="K26" s="173"/>
    </row>
    <row r="27" spans="1:11">
      <c r="A27" s="454"/>
      <c r="B27" s="451" t="s">
        <v>221</v>
      </c>
      <c r="C27" s="451"/>
      <c r="D27" s="451"/>
      <c r="E27" s="451"/>
      <c r="F27" s="452"/>
      <c r="G27" s="451"/>
      <c r="H27" s="451"/>
      <c r="I27" s="451"/>
      <c r="J27" s="453"/>
      <c r="K27" s="173"/>
    </row>
    <row r="28" spans="1:11">
      <c r="A28" s="454"/>
      <c r="B28" s="451"/>
      <c r="C28" s="451"/>
      <c r="D28" s="451"/>
      <c r="E28" s="451"/>
      <c r="F28" s="452"/>
      <c r="G28" s="451"/>
      <c r="H28" s="451"/>
      <c r="I28" s="451"/>
      <c r="J28" s="453"/>
      <c r="K28" s="173"/>
    </row>
    <row r="29" spans="1:11">
      <c r="A29" s="22"/>
      <c r="B29" s="13"/>
      <c r="C29" s="13"/>
      <c r="D29" s="13"/>
      <c r="E29" s="13"/>
      <c r="F29" s="71"/>
      <c r="G29" s="13"/>
      <c r="H29" s="13"/>
      <c r="I29" s="13"/>
      <c r="J29" s="13"/>
      <c r="K29" s="175"/>
    </row>
    <row r="30" spans="1:11" s="24" customFormat="1" ht="11.25">
      <c r="A30" s="447" t="s">
        <v>222</v>
      </c>
      <c r="B30" s="5"/>
      <c r="C30" s="5"/>
      <c r="D30" s="5"/>
      <c r="E30" s="5"/>
      <c r="F30" s="5"/>
      <c r="G30" s="5"/>
      <c r="H30" s="5"/>
      <c r="I30" s="5"/>
      <c r="J30" s="5"/>
      <c r="K30" s="445"/>
    </row>
    <row r="31" spans="1:11">
      <c r="A31" s="13"/>
      <c r="B31" s="13"/>
      <c r="C31" s="13"/>
      <c r="D31" s="13"/>
      <c r="E31" s="13"/>
      <c r="F31" s="13"/>
      <c r="G31" s="13"/>
      <c r="H31" s="13"/>
      <c r="I31" s="13"/>
      <c r="J31" s="13"/>
      <c r="K31" s="175"/>
    </row>
    <row r="32" spans="1:11">
      <c r="A32" s="13"/>
      <c r="B32" s="13"/>
      <c r="C32" s="13"/>
      <c r="D32" s="13"/>
      <c r="E32" s="13"/>
      <c r="F32" s="13"/>
      <c r="G32" s="13"/>
      <c r="H32" s="13"/>
      <c r="I32" s="13"/>
      <c r="J32" s="13"/>
      <c r="K32" s="175"/>
    </row>
    <row r="33" spans="1:11">
      <c r="A33" s="13"/>
      <c r="B33" s="13"/>
      <c r="C33" s="13"/>
      <c r="D33" s="13"/>
      <c r="E33" s="13"/>
      <c r="F33" s="13"/>
      <c r="G33" s="13"/>
      <c r="H33" s="13"/>
      <c r="I33" s="13"/>
      <c r="J33" s="13"/>
      <c r="K33" s="175"/>
    </row>
    <row r="34" spans="1:11">
      <c r="A34" s="13"/>
      <c r="B34" s="13"/>
      <c r="C34" s="13"/>
      <c r="D34" s="13"/>
      <c r="E34" s="13"/>
      <c r="F34" s="13"/>
      <c r="G34" s="13"/>
      <c r="H34" s="13"/>
      <c r="I34" s="13"/>
      <c r="J34" s="13"/>
      <c r="K34" s="175"/>
    </row>
    <row r="35" spans="1:11">
      <c r="A35" s="13"/>
      <c r="B35" s="13"/>
      <c r="C35" s="13"/>
      <c r="D35" s="13"/>
      <c r="E35" s="13"/>
      <c r="F35" s="13"/>
      <c r="G35" s="13"/>
      <c r="H35" s="13"/>
      <c r="I35" s="13"/>
      <c r="J35" s="13"/>
      <c r="K35" s="175"/>
    </row>
    <row r="36" spans="1:11">
      <c r="A36" s="13"/>
      <c r="B36" s="13"/>
      <c r="C36" s="13"/>
      <c r="D36" s="13"/>
      <c r="E36" s="13"/>
      <c r="F36" s="13"/>
      <c r="G36" s="13"/>
      <c r="H36" s="13"/>
      <c r="I36" s="13"/>
      <c r="J36" s="13"/>
      <c r="K36" s="175"/>
    </row>
    <row r="37" spans="1:11" s="24" customFormat="1" ht="11.25">
      <c r="A37" s="448" t="s">
        <v>223</v>
      </c>
      <c r="B37" s="5"/>
      <c r="C37" s="5"/>
      <c r="D37" s="5"/>
      <c r="E37" s="5"/>
      <c r="F37" s="5"/>
      <c r="G37" s="5"/>
      <c r="H37" s="5"/>
      <c r="I37" s="5"/>
      <c r="J37" s="5"/>
      <c r="K37" s="445"/>
    </row>
    <row r="38" spans="1:11">
      <c r="A38" s="13"/>
      <c r="B38" s="13"/>
      <c r="C38" s="13"/>
      <c r="D38" s="13"/>
      <c r="E38" s="13"/>
      <c r="F38" s="13"/>
      <c r="G38" s="13"/>
      <c r="H38" s="13"/>
      <c r="I38" s="13"/>
      <c r="J38" s="13"/>
      <c r="K38" s="175"/>
    </row>
    <row r="39" spans="1:11">
      <c r="A39" s="13"/>
      <c r="B39" s="13"/>
      <c r="C39" s="13"/>
      <c r="D39" s="13"/>
      <c r="E39" s="13"/>
      <c r="F39" s="13"/>
      <c r="G39" s="13"/>
      <c r="H39" s="13"/>
      <c r="I39" s="13"/>
      <c r="J39" s="13"/>
      <c r="K39" s="175"/>
    </row>
    <row r="40" spans="1:11">
      <c r="A40" s="13"/>
      <c r="B40" s="13"/>
      <c r="C40" s="13"/>
      <c r="D40" s="13"/>
      <c r="E40" s="13"/>
      <c r="F40" s="13"/>
      <c r="G40" s="13"/>
      <c r="H40" s="13"/>
      <c r="I40" s="13"/>
      <c r="J40" s="13"/>
      <c r="K40" s="175"/>
    </row>
    <row r="41" spans="1:11">
      <c r="A41" s="13"/>
      <c r="B41" s="13"/>
      <c r="C41" s="13"/>
      <c r="D41" s="13"/>
      <c r="E41" s="13"/>
      <c r="F41" s="13"/>
      <c r="G41" s="13"/>
      <c r="H41" s="13"/>
      <c r="I41" s="13"/>
      <c r="J41" s="13"/>
      <c r="K41" s="175"/>
    </row>
    <row r="42" spans="1:11">
      <c r="A42" s="13"/>
      <c r="B42" s="13"/>
      <c r="C42" s="13"/>
      <c r="D42" s="13"/>
      <c r="E42" s="13"/>
      <c r="F42" s="13"/>
      <c r="G42" s="13"/>
      <c r="H42" s="13"/>
      <c r="I42" s="13"/>
      <c r="J42" s="13"/>
      <c r="K42" s="175"/>
    </row>
    <row r="43" spans="1:11">
      <c r="A43" s="13"/>
      <c r="B43" s="5"/>
      <c r="C43" s="13"/>
      <c r="D43" s="13"/>
      <c r="E43" s="13"/>
      <c r="F43" s="13"/>
      <c r="G43" s="13"/>
      <c r="H43" s="13"/>
      <c r="I43" s="13"/>
      <c r="J43" s="13"/>
      <c r="K43" s="175"/>
    </row>
    <row r="44" spans="1:11" s="24" customFormat="1" ht="11.25">
      <c r="A44" s="448" t="s">
        <v>224</v>
      </c>
      <c r="B44" s="5"/>
      <c r="C44" s="5"/>
      <c r="D44" s="5"/>
      <c r="E44" s="5"/>
      <c r="F44" s="5"/>
      <c r="G44" s="5"/>
      <c r="H44" s="5"/>
      <c r="I44" s="5"/>
      <c r="J44" s="5"/>
      <c r="K44" s="445"/>
    </row>
    <row r="45" spans="1:11" s="24" customFormat="1" ht="8.25">
      <c r="A45" s="449"/>
      <c r="B45" s="5"/>
      <c r="C45" s="5"/>
      <c r="D45" s="5"/>
      <c r="E45" s="5"/>
      <c r="F45" s="5"/>
      <c r="G45" s="5"/>
      <c r="H45" s="5"/>
      <c r="I45" s="5"/>
      <c r="J45" s="5"/>
      <c r="K45" s="445"/>
    </row>
    <row r="46" spans="1:11" s="24" customFormat="1" ht="11.25">
      <c r="A46" s="265" t="s">
        <v>225</v>
      </c>
      <c r="B46" s="5"/>
      <c r="C46" s="5"/>
      <c r="D46" s="5"/>
      <c r="E46" s="5"/>
      <c r="F46" s="5"/>
      <c r="G46" s="5"/>
      <c r="H46" s="5"/>
      <c r="I46" s="5"/>
      <c r="J46" s="5"/>
      <c r="K46" s="445"/>
    </row>
    <row r="47" spans="1:11" s="24" customFormat="1" ht="11.25">
      <c r="A47" s="265"/>
      <c r="B47" s="5"/>
      <c r="C47" s="5"/>
      <c r="D47" s="5"/>
      <c r="E47" s="5"/>
      <c r="F47" s="5"/>
      <c r="G47" s="5"/>
      <c r="H47" s="5"/>
      <c r="I47" s="5"/>
      <c r="J47" s="5"/>
      <c r="K47" s="445"/>
    </row>
    <row r="48" spans="1:11" s="24" customFormat="1" ht="11.25">
      <c r="A48" s="265"/>
      <c r="B48" s="5"/>
      <c r="C48" s="5"/>
      <c r="D48" s="5"/>
      <c r="E48" s="5"/>
      <c r="F48" s="5"/>
      <c r="G48" s="5"/>
      <c r="H48" s="5"/>
      <c r="I48" s="5"/>
      <c r="J48" s="5"/>
      <c r="K48" s="445"/>
    </row>
    <row r="49" spans="1:11" s="177" customFormat="1" ht="9.75">
      <c r="A49" s="16"/>
      <c r="B49" s="16"/>
      <c r="C49" s="16"/>
      <c r="D49" s="16"/>
      <c r="E49" s="16"/>
      <c r="F49" s="16"/>
      <c r="G49" s="16"/>
      <c r="H49" s="16"/>
      <c r="I49" s="16"/>
      <c r="J49" s="16"/>
      <c r="K49" s="446"/>
    </row>
    <row r="50" spans="1:11" s="177" customFormat="1" ht="11.25">
      <c r="A50" s="265" t="s">
        <v>226</v>
      </c>
      <c r="B50" s="16"/>
      <c r="C50" s="16"/>
      <c r="D50" s="16"/>
      <c r="E50" s="16"/>
      <c r="F50" s="16"/>
      <c r="G50" s="265" t="s">
        <v>34</v>
      </c>
      <c r="H50" s="16"/>
      <c r="I50" s="16"/>
      <c r="J50" s="16"/>
      <c r="K50" s="446"/>
    </row>
    <row r="51" spans="1:11" s="177" customFormat="1" ht="11.25">
      <c r="A51" s="265"/>
      <c r="B51" s="16"/>
      <c r="C51" s="16"/>
      <c r="D51" s="16"/>
      <c r="E51" s="16"/>
      <c r="F51" s="16"/>
      <c r="G51" s="16"/>
      <c r="H51" s="16"/>
      <c r="I51" s="16"/>
      <c r="J51" s="16"/>
      <c r="K51" s="446"/>
    </row>
    <row r="52" spans="1:11" s="24" customFormat="1" ht="11.25">
      <c r="A52" s="54" t="s">
        <v>227</v>
      </c>
      <c r="B52" s="5"/>
      <c r="C52" s="5"/>
      <c r="D52" s="5"/>
      <c r="E52" s="5"/>
      <c r="F52" s="5"/>
      <c r="G52" s="5"/>
      <c r="H52" s="5"/>
      <c r="I52" s="5"/>
      <c r="J52" s="12"/>
      <c r="K52" s="174"/>
    </row>
    <row r="53" spans="1:11" s="177" customFormat="1" ht="11.25">
      <c r="A53" s="257" t="s">
        <v>745</v>
      </c>
      <c r="B53" s="20"/>
      <c r="C53" s="20"/>
      <c r="D53" s="20"/>
      <c r="E53" s="20"/>
      <c r="F53" s="20"/>
      <c r="G53" s="20"/>
      <c r="H53" s="20"/>
      <c r="I53" s="20"/>
      <c r="J53" s="21"/>
      <c r="K53" s="176"/>
    </row>
    <row r="54" spans="1:11" s="177" customFormat="1" ht="11.25">
      <c r="A54" s="272" t="s">
        <v>746</v>
      </c>
      <c r="B54" s="16"/>
      <c r="C54" s="16"/>
      <c r="D54" s="16"/>
      <c r="E54" s="16"/>
      <c r="F54" s="16"/>
      <c r="G54" s="16"/>
      <c r="H54" s="16"/>
      <c r="I54" s="16"/>
      <c r="J54" s="17"/>
      <c r="K54" s="176"/>
    </row>
    <row r="55" spans="1:11" s="177" customFormat="1" ht="11.25">
      <c r="A55" s="272" t="s">
        <v>747</v>
      </c>
      <c r="B55" s="16"/>
      <c r="C55" s="16"/>
      <c r="D55" s="16"/>
      <c r="E55" s="16"/>
      <c r="F55" s="274"/>
      <c r="G55" s="16"/>
      <c r="H55" s="16"/>
      <c r="I55" s="16"/>
      <c r="J55" s="17"/>
      <c r="K55" s="176"/>
    </row>
    <row r="56" spans="1:11" s="24" customFormat="1" ht="11.25">
      <c r="A56" s="156" t="s">
        <v>1</v>
      </c>
      <c r="B56" s="18"/>
      <c r="C56" s="18"/>
      <c r="D56" s="18"/>
      <c r="E56" s="18"/>
      <c r="F56" s="18"/>
      <c r="G56" s="18"/>
      <c r="H56" s="18"/>
      <c r="I56" s="18"/>
      <c r="J56" s="19"/>
      <c r="K56" s="174"/>
    </row>
    <row r="57" spans="1:11" s="24" customFormat="1" ht="11.25">
      <c r="A57" s="53" t="s">
        <v>228</v>
      </c>
      <c r="B57" s="7"/>
      <c r="C57" s="239"/>
      <c r="D57" s="7"/>
      <c r="E57" s="7"/>
      <c r="F57" s="7"/>
      <c r="G57" s="7"/>
      <c r="H57" s="7"/>
      <c r="I57" s="7"/>
      <c r="J57" s="8"/>
      <c r="K57" s="174"/>
    </row>
    <row r="58" spans="1:11" s="24" customFormat="1" ht="11.25">
      <c r="A58" s="257" t="s">
        <v>726</v>
      </c>
      <c r="B58" s="258"/>
      <c r="C58" s="258"/>
      <c r="D58" s="266"/>
      <c r="E58" s="257" t="s">
        <v>35</v>
      </c>
      <c r="F58" s="258"/>
      <c r="G58" s="266"/>
      <c r="H58" s="257" t="s">
        <v>36</v>
      </c>
      <c r="I58" s="258"/>
      <c r="J58" s="8"/>
      <c r="K58" s="174"/>
    </row>
    <row r="59" spans="1:11">
      <c r="A59" s="267" t="s">
        <v>0</v>
      </c>
      <c r="B59" s="145"/>
      <c r="C59" s="145"/>
      <c r="D59" s="268"/>
      <c r="E59" s="267" t="s">
        <v>0</v>
      </c>
      <c r="F59" s="145"/>
      <c r="G59" s="268"/>
      <c r="H59" s="456" t="s">
        <v>229</v>
      </c>
      <c r="I59" s="145"/>
      <c r="J59" s="11"/>
      <c r="K59" s="173"/>
    </row>
    <row r="60" spans="1:11" s="24" customFormat="1" ht="11.25">
      <c r="A60" s="223" t="s">
        <v>37</v>
      </c>
      <c r="B60" s="222"/>
      <c r="C60" s="222"/>
      <c r="D60" s="222"/>
      <c r="E60" s="222"/>
      <c r="F60" s="222"/>
      <c r="G60" s="225"/>
      <c r="H60" s="257" t="s">
        <v>27</v>
      </c>
      <c r="I60" s="258"/>
      <c r="J60" s="8"/>
      <c r="K60" s="174"/>
    </row>
    <row r="61" spans="1:11">
      <c r="A61" s="267" t="s">
        <v>0</v>
      </c>
      <c r="B61" s="276"/>
      <c r="C61" s="276"/>
      <c r="D61" s="276"/>
      <c r="E61" s="276"/>
      <c r="F61" s="276"/>
      <c r="G61" s="277"/>
      <c r="H61" s="269" t="s">
        <v>0</v>
      </c>
      <c r="I61" s="278"/>
      <c r="J61" s="194"/>
      <c r="K61" s="173"/>
    </row>
    <row r="62" spans="1:11">
      <c r="A62" s="272"/>
      <c r="B62" s="265"/>
      <c r="C62" s="265"/>
      <c r="D62" s="266" t="s">
        <v>230</v>
      </c>
      <c r="E62" s="265"/>
      <c r="F62" s="265"/>
      <c r="G62" s="265"/>
      <c r="H62" s="265"/>
      <c r="I62" s="265"/>
      <c r="J62" s="14"/>
      <c r="K62" s="173"/>
    </row>
    <row r="63" spans="1:11">
      <c r="A63" s="272" t="s">
        <v>231</v>
      </c>
      <c r="B63" s="265"/>
      <c r="C63" s="265"/>
      <c r="D63" s="273"/>
      <c r="E63" s="265" t="s">
        <v>727</v>
      </c>
      <c r="F63" s="265"/>
      <c r="G63" s="265"/>
      <c r="H63" s="265"/>
      <c r="I63" s="265"/>
      <c r="J63" s="14"/>
      <c r="K63" s="173"/>
    </row>
    <row r="64" spans="1:11">
      <c r="A64" s="272"/>
      <c r="B64" s="265"/>
      <c r="C64" s="265"/>
      <c r="D64" s="273"/>
      <c r="E64" s="265"/>
      <c r="F64" s="265"/>
      <c r="G64" s="265"/>
      <c r="H64" s="265"/>
      <c r="I64" s="265"/>
      <c r="J64" s="14"/>
      <c r="K64" s="173"/>
    </row>
    <row r="65" spans="1:11">
      <c r="A65" s="272"/>
      <c r="B65" s="265"/>
      <c r="C65" s="265"/>
      <c r="D65" s="268"/>
      <c r="E65" s="455"/>
      <c r="F65" s="265"/>
      <c r="G65" s="265"/>
      <c r="H65" s="265"/>
      <c r="I65" s="265"/>
      <c r="J65" s="14"/>
      <c r="K65" s="173"/>
    </row>
    <row r="66" spans="1:11" s="24" customFormat="1" ht="11.25">
      <c r="A66" s="257" t="s">
        <v>232</v>
      </c>
      <c r="B66" s="258"/>
      <c r="C66" s="258"/>
      <c r="D66" s="266"/>
      <c r="E66" s="223" t="s">
        <v>38</v>
      </c>
      <c r="F66" s="222"/>
      <c r="G66" s="222"/>
      <c r="H66" s="225"/>
      <c r="I66" s="257" t="s">
        <v>27</v>
      </c>
      <c r="J66" s="8"/>
      <c r="K66" s="174"/>
    </row>
    <row r="67" spans="1:11" s="25" customFormat="1">
      <c r="A67" s="156" t="s">
        <v>1</v>
      </c>
      <c r="B67" s="145"/>
      <c r="C67" s="145"/>
      <c r="D67" s="268"/>
      <c r="E67" s="156" t="s">
        <v>1</v>
      </c>
      <c r="F67" s="276"/>
      <c r="G67" s="276"/>
      <c r="H67" s="277"/>
      <c r="I67" s="387" t="s">
        <v>1</v>
      </c>
      <c r="J67" s="196"/>
      <c r="K67" s="178"/>
    </row>
    <row r="68" spans="1:11" s="25" customFormat="1">
      <c r="A68" s="38"/>
      <c r="B68" s="55"/>
      <c r="C68" s="55"/>
      <c r="D68" s="55"/>
      <c r="E68" s="22"/>
      <c r="F68" s="55"/>
      <c r="G68" s="55"/>
      <c r="H68" s="55"/>
      <c r="I68" s="248"/>
      <c r="J68" s="249"/>
      <c r="K68" s="250"/>
    </row>
    <row r="69" spans="1:11">
      <c r="A69" s="175"/>
      <c r="B69" s="175"/>
      <c r="C69" s="175"/>
      <c r="D69" s="175"/>
      <c r="E69" s="175"/>
      <c r="F69" s="175"/>
      <c r="G69" s="175"/>
      <c r="H69" s="175"/>
      <c r="I69" s="175"/>
      <c r="J69" s="175"/>
    </row>
    <row r="70" spans="1:11">
      <c r="A70" s="175"/>
      <c r="B70" s="175"/>
      <c r="C70" s="179"/>
      <c r="D70" s="175"/>
      <c r="E70" s="175"/>
      <c r="F70" s="175"/>
      <c r="G70" s="175"/>
      <c r="H70" s="175"/>
      <c r="I70" s="175"/>
      <c r="J70" s="175"/>
    </row>
    <row r="71" spans="1:11">
      <c r="A71" s="175"/>
      <c r="B71" s="175"/>
      <c r="C71" s="175"/>
      <c r="D71" s="175"/>
      <c r="E71" s="175"/>
      <c r="F71" s="175"/>
      <c r="G71" s="175"/>
      <c r="H71" s="175"/>
      <c r="I71" s="175"/>
      <c r="J71" s="175"/>
    </row>
  </sheetData>
  <mergeCells count="1">
    <mergeCell ref="I1:J3"/>
  </mergeCells>
  <phoneticPr fontId="16" type="noConversion"/>
  <pageMargins left="0.51181102362204722" right="0.23622047244094491" top="0.70866141732283472" bottom="0.51181102362204722" header="0.31496062992125984" footer="0.31496062992125984"/>
  <pageSetup scale="88" orientation="portrait" horizontalDpi="300" r:id="rId1"/>
  <headerFooter alignWithMargins="0">
    <oddFooter>&amp;A</oddFooter>
  </headerFooter>
  <customProperties>
    <customPr name="Ibp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24579" r:id="rId5" name="Check Box 3">
              <controlPr defaultSize="0" autoFill="0" autoLine="0" autoPict="0">
                <anchor moveWithCells="1">
                  <from>
                    <xdr:col>5</xdr:col>
                    <xdr:colOff>9525</xdr:colOff>
                    <xdr:row>15</xdr:row>
                    <xdr:rowOff>133350</xdr:rowOff>
                  </from>
                  <to>
                    <xdr:col>6</xdr:col>
                    <xdr:colOff>409575</xdr:colOff>
                    <xdr:row>17</xdr:row>
                    <xdr:rowOff>66675</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6</xdr:col>
                    <xdr:colOff>428625</xdr:colOff>
                    <xdr:row>15</xdr:row>
                    <xdr:rowOff>133350</xdr:rowOff>
                  </from>
                  <to>
                    <xdr:col>8</xdr:col>
                    <xdr:colOff>419100</xdr:colOff>
                    <xdr:row>17</xdr:row>
                    <xdr:rowOff>66675</xdr:rowOff>
                  </to>
                </anchor>
              </controlPr>
            </control>
          </mc:Choice>
        </mc:AlternateContent>
        <mc:AlternateContent xmlns:mc="http://schemas.openxmlformats.org/markup-compatibility/2006">
          <mc:Choice Requires="x14">
            <control shapeId="24581" r:id="rId7" name="Check Box 5">
              <controlPr defaultSize="0" autoFill="0" autoLine="0" autoPict="0">
                <anchor moveWithCells="1">
                  <from>
                    <xdr:col>8</xdr:col>
                    <xdr:colOff>495300</xdr:colOff>
                    <xdr:row>15</xdr:row>
                    <xdr:rowOff>133350</xdr:rowOff>
                  </from>
                  <to>
                    <xdr:col>9</xdr:col>
                    <xdr:colOff>685800</xdr:colOff>
                    <xdr:row>17</xdr:row>
                    <xdr:rowOff>66675</xdr:rowOff>
                  </to>
                </anchor>
              </controlPr>
            </control>
          </mc:Choice>
        </mc:AlternateContent>
        <mc:AlternateContent xmlns:mc="http://schemas.openxmlformats.org/markup-compatibility/2006">
          <mc:Choice Requires="x14">
            <control shapeId="24589" r:id="rId8" name="Check Box 13">
              <controlPr defaultSize="0" autoFill="0" autoLine="0" autoPict="0">
                <anchor moveWithCells="1">
                  <from>
                    <xdr:col>2</xdr:col>
                    <xdr:colOff>447675</xdr:colOff>
                    <xdr:row>46</xdr:row>
                    <xdr:rowOff>9525</xdr:rowOff>
                  </from>
                  <to>
                    <xdr:col>4</xdr:col>
                    <xdr:colOff>581025</xdr:colOff>
                    <xdr:row>47</xdr:row>
                    <xdr:rowOff>95250</xdr:rowOff>
                  </to>
                </anchor>
              </controlPr>
            </control>
          </mc:Choice>
        </mc:AlternateContent>
        <mc:AlternateContent xmlns:mc="http://schemas.openxmlformats.org/markup-compatibility/2006">
          <mc:Choice Requires="x14">
            <control shapeId="24590" r:id="rId9" name="Check Box 14">
              <controlPr defaultSize="0" autoFill="0" autoLine="0" autoPict="0">
                <anchor moveWithCells="1">
                  <from>
                    <xdr:col>5</xdr:col>
                    <xdr:colOff>0</xdr:colOff>
                    <xdr:row>46</xdr:row>
                    <xdr:rowOff>0</xdr:rowOff>
                  </from>
                  <to>
                    <xdr:col>6</xdr:col>
                    <xdr:colOff>257175</xdr:colOff>
                    <xdr:row>47</xdr:row>
                    <xdr:rowOff>85725</xdr:rowOff>
                  </to>
                </anchor>
              </controlPr>
            </control>
          </mc:Choice>
        </mc:AlternateContent>
        <mc:AlternateContent xmlns:mc="http://schemas.openxmlformats.org/markup-compatibility/2006">
          <mc:Choice Requires="x14">
            <control shapeId="24591" r:id="rId10" name="Check Box 15">
              <controlPr defaultSize="0" autoFill="0" autoLine="0" autoPict="0">
                <anchor moveWithCells="1">
                  <from>
                    <xdr:col>6</xdr:col>
                    <xdr:colOff>352425</xdr:colOff>
                    <xdr:row>46</xdr:row>
                    <xdr:rowOff>0</xdr:rowOff>
                  </from>
                  <to>
                    <xdr:col>9</xdr:col>
                    <xdr:colOff>104775</xdr:colOff>
                    <xdr:row>47</xdr:row>
                    <xdr:rowOff>85725</xdr:rowOff>
                  </to>
                </anchor>
              </controlPr>
            </control>
          </mc:Choice>
        </mc:AlternateContent>
        <mc:AlternateContent xmlns:mc="http://schemas.openxmlformats.org/markup-compatibility/2006">
          <mc:Choice Requires="x14">
            <control shapeId="24592" r:id="rId11" name="Option Button 16">
              <controlPr defaultSize="0" autoFill="0" autoLine="0" autoPict="0">
                <anchor moveWithCells="1">
                  <from>
                    <xdr:col>4</xdr:col>
                    <xdr:colOff>133350</xdr:colOff>
                    <xdr:row>48</xdr:row>
                    <xdr:rowOff>47625</xdr:rowOff>
                  </from>
                  <to>
                    <xdr:col>4</xdr:col>
                    <xdr:colOff>561975</xdr:colOff>
                    <xdr:row>50</xdr:row>
                    <xdr:rowOff>9525</xdr:rowOff>
                  </to>
                </anchor>
              </controlPr>
            </control>
          </mc:Choice>
        </mc:AlternateContent>
        <mc:AlternateContent xmlns:mc="http://schemas.openxmlformats.org/markup-compatibility/2006">
          <mc:Choice Requires="x14">
            <control shapeId="24593" r:id="rId12" name="Option Button 17">
              <controlPr defaultSize="0" autoFill="0" autoLine="0" autoPict="0">
                <anchor moveWithCells="1">
                  <from>
                    <xdr:col>5</xdr:col>
                    <xdr:colOff>0</xdr:colOff>
                    <xdr:row>48</xdr:row>
                    <xdr:rowOff>47625</xdr:rowOff>
                  </from>
                  <to>
                    <xdr:col>5</xdr:col>
                    <xdr:colOff>428625</xdr:colOff>
                    <xdr:row>50</xdr:row>
                    <xdr:rowOff>9525</xdr:rowOff>
                  </to>
                </anchor>
              </controlPr>
            </control>
          </mc:Choice>
        </mc:AlternateContent>
        <mc:AlternateContent xmlns:mc="http://schemas.openxmlformats.org/markup-compatibility/2006">
          <mc:Choice Requires="x14">
            <control shapeId="24596" r:id="rId13" name="Option Button 20">
              <controlPr defaultSize="0" autoFill="0" autoLine="0" autoPict="0">
                <anchor moveWithCells="1">
                  <from>
                    <xdr:col>0</xdr:col>
                    <xdr:colOff>47625</xdr:colOff>
                    <xdr:row>63</xdr:row>
                    <xdr:rowOff>19050</xdr:rowOff>
                  </from>
                  <to>
                    <xdr:col>1</xdr:col>
                    <xdr:colOff>95250</xdr:colOff>
                    <xdr:row>64</xdr:row>
                    <xdr:rowOff>76200</xdr:rowOff>
                  </to>
                </anchor>
              </controlPr>
            </control>
          </mc:Choice>
        </mc:AlternateContent>
        <mc:AlternateContent xmlns:mc="http://schemas.openxmlformats.org/markup-compatibility/2006">
          <mc:Choice Requires="x14">
            <control shapeId="24597" r:id="rId14" name="Option Button 21">
              <controlPr defaultSize="0" autoFill="0" autoLine="0" autoPict="0">
                <anchor moveWithCells="1">
                  <from>
                    <xdr:col>1</xdr:col>
                    <xdr:colOff>161925</xdr:colOff>
                    <xdr:row>63</xdr:row>
                    <xdr:rowOff>9525</xdr:rowOff>
                  </from>
                  <to>
                    <xdr:col>2</xdr:col>
                    <xdr:colOff>447675</xdr:colOff>
                    <xdr:row>64</xdr:row>
                    <xdr:rowOff>66675</xdr:rowOff>
                  </to>
                </anchor>
              </controlPr>
            </control>
          </mc:Choice>
        </mc:AlternateContent>
        <mc:AlternateContent xmlns:mc="http://schemas.openxmlformats.org/markup-compatibility/2006">
          <mc:Choice Requires="x14">
            <control shapeId="24598" r:id="rId15" name="Option Button 22">
              <controlPr defaultSize="0" autoFill="0" autoLine="0" autoPict="0">
                <anchor moveWithCells="1">
                  <from>
                    <xdr:col>2</xdr:col>
                    <xdr:colOff>314325</xdr:colOff>
                    <xdr:row>63</xdr:row>
                    <xdr:rowOff>19050</xdr:rowOff>
                  </from>
                  <to>
                    <xdr:col>3</xdr:col>
                    <xdr:colOff>123825</xdr:colOff>
                    <xdr:row>64</xdr:row>
                    <xdr:rowOff>66675</xdr:rowOff>
                  </to>
                </anchor>
              </controlPr>
            </control>
          </mc:Choice>
        </mc:AlternateContent>
        <mc:AlternateContent xmlns:mc="http://schemas.openxmlformats.org/markup-compatibility/2006">
          <mc:Choice Requires="x14">
            <control shapeId="24600" r:id="rId16" name="Option Button 24">
              <controlPr defaultSize="0" autoFill="0" autoLine="0" autoPict="0">
                <anchor moveWithCells="1">
                  <from>
                    <xdr:col>0</xdr:col>
                    <xdr:colOff>0</xdr:colOff>
                    <xdr:row>29</xdr:row>
                    <xdr:rowOff>123825</xdr:rowOff>
                  </from>
                  <to>
                    <xdr:col>4</xdr:col>
                    <xdr:colOff>19050</xdr:colOff>
                    <xdr:row>31</xdr:row>
                    <xdr:rowOff>38100</xdr:rowOff>
                  </to>
                </anchor>
              </controlPr>
            </control>
          </mc:Choice>
        </mc:AlternateContent>
        <mc:AlternateContent xmlns:mc="http://schemas.openxmlformats.org/markup-compatibility/2006">
          <mc:Choice Requires="x14">
            <control shapeId="24601" r:id="rId17" name="Option Button 25">
              <controlPr defaultSize="0" autoFill="0" autoLine="0" autoPict="0">
                <anchor moveWithCells="1">
                  <from>
                    <xdr:col>0</xdr:col>
                    <xdr:colOff>0</xdr:colOff>
                    <xdr:row>31</xdr:row>
                    <xdr:rowOff>0</xdr:rowOff>
                  </from>
                  <to>
                    <xdr:col>4</xdr:col>
                    <xdr:colOff>19050</xdr:colOff>
                    <xdr:row>32</xdr:row>
                    <xdr:rowOff>57150</xdr:rowOff>
                  </to>
                </anchor>
              </controlPr>
            </control>
          </mc:Choice>
        </mc:AlternateContent>
        <mc:AlternateContent xmlns:mc="http://schemas.openxmlformats.org/markup-compatibility/2006">
          <mc:Choice Requires="x14">
            <control shapeId="24602" r:id="rId18" name="Option Button 26">
              <controlPr defaultSize="0" autoFill="0" autoLine="0" autoPict="0">
                <anchor moveWithCells="1">
                  <from>
                    <xdr:col>0</xdr:col>
                    <xdr:colOff>0</xdr:colOff>
                    <xdr:row>32</xdr:row>
                    <xdr:rowOff>0</xdr:rowOff>
                  </from>
                  <to>
                    <xdr:col>4</xdr:col>
                    <xdr:colOff>533400</xdr:colOff>
                    <xdr:row>33</xdr:row>
                    <xdr:rowOff>57150</xdr:rowOff>
                  </to>
                </anchor>
              </controlPr>
            </control>
          </mc:Choice>
        </mc:AlternateContent>
        <mc:AlternateContent xmlns:mc="http://schemas.openxmlformats.org/markup-compatibility/2006">
          <mc:Choice Requires="x14">
            <control shapeId="24603" r:id="rId19" name="Option Button 27">
              <controlPr defaultSize="0" autoFill="0" autoLine="0" autoPict="0">
                <anchor moveWithCells="1">
                  <from>
                    <xdr:col>0</xdr:col>
                    <xdr:colOff>0</xdr:colOff>
                    <xdr:row>33</xdr:row>
                    <xdr:rowOff>0</xdr:rowOff>
                  </from>
                  <to>
                    <xdr:col>4</xdr:col>
                    <xdr:colOff>19050</xdr:colOff>
                    <xdr:row>34</xdr:row>
                    <xdr:rowOff>57150</xdr:rowOff>
                  </to>
                </anchor>
              </controlPr>
            </control>
          </mc:Choice>
        </mc:AlternateContent>
        <mc:AlternateContent xmlns:mc="http://schemas.openxmlformats.org/markup-compatibility/2006">
          <mc:Choice Requires="x14">
            <control shapeId="24604" r:id="rId20" name="Option Button 28">
              <controlPr defaultSize="0" autoFill="0" autoLine="0" autoPict="0">
                <anchor moveWithCells="1">
                  <from>
                    <xdr:col>5</xdr:col>
                    <xdr:colOff>19050</xdr:colOff>
                    <xdr:row>30</xdr:row>
                    <xdr:rowOff>9525</xdr:rowOff>
                  </from>
                  <to>
                    <xdr:col>9</xdr:col>
                    <xdr:colOff>514350</xdr:colOff>
                    <xdr:row>31</xdr:row>
                    <xdr:rowOff>66675</xdr:rowOff>
                  </to>
                </anchor>
              </controlPr>
            </control>
          </mc:Choice>
        </mc:AlternateContent>
        <mc:AlternateContent xmlns:mc="http://schemas.openxmlformats.org/markup-compatibility/2006">
          <mc:Choice Requires="x14">
            <control shapeId="24605" r:id="rId21" name="Option Button 29">
              <controlPr defaultSize="0" autoFill="0" autoLine="0" autoPict="0">
                <anchor moveWithCells="1">
                  <from>
                    <xdr:col>5</xdr:col>
                    <xdr:colOff>19050</xdr:colOff>
                    <xdr:row>31</xdr:row>
                    <xdr:rowOff>0</xdr:rowOff>
                  </from>
                  <to>
                    <xdr:col>9</xdr:col>
                    <xdr:colOff>228600</xdr:colOff>
                    <xdr:row>32</xdr:row>
                    <xdr:rowOff>57150</xdr:rowOff>
                  </to>
                </anchor>
              </controlPr>
            </control>
          </mc:Choice>
        </mc:AlternateContent>
        <mc:AlternateContent xmlns:mc="http://schemas.openxmlformats.org/markup-compatibility/2006">
          <mc:Choice Requires="x14">
            <control shapeId="24606" r:id="rId22" name="Option Button 30">
              <controlPr defaultSize="0" autoFill="0" autoLine="0" autoPict="0">
                <anchor moveWithCells="1">
                  <from>
                    <xdr:col>5</xdr:col>
                    <xdr:colOff>19050</xdr:colOff>
                    <xdr:row>32</xdr:row>
                    <xdr:rowOff>0</xdr:rowOff>
                  </from>
                  <to>
                    <xdr:col>9</xdr:col>
                    <xdr:colOff>228600</xdr:colOff>
                    <xdr:row>33</xdr:row>
                    <xdr:rowOff>57150</xdr:rowOff>
                  </to>
                </anchor>
              </controlPr>
            </control>
          </mc:Choice>
        </mc:AlternateContent>
        <mc:AlternateContent xmlns:mc="http://schemas.openxmlformats.org/markup-compatibility/2006">
          <mc:Choice Requires="x14">
            <control shapeId="24607" r:id="rId23" name="Option Button 31">
              <controlPr defaultSize="0" autoFill="0" autoLine="0" autoPict="0">
                <anchor moveWithCells="1">
                  <from>
                    <xdr:col>5</xdr:col>
                    <xdr:colOff>19050</xdr:colOff>
                    <xdr:row>33</xdr:row>
                    <xdr:rowOff>0</xdr:rowOff>
                  </from>
                  <to>
                    <xdr:col>9</xdr:col>
                    <xdr:colOff>228600</xdr:colOff>
                    <xdr:row>34</xdr:row>
                    <xdr:rowOff>57150</xdr:rowOff>
                  </to>
                </anchor>
              </controlPr>
            </control>
          </mc:Choice>
        </mc:AlternateContent>
        <mc:AlternateContent xmlns:mc="http://schemas.openxmlformats.org/markup-compatibility/2006">
          <mc:Choice Requires="x14">
            <control shapeId="24609" r:id="rId24" name="Check Box 33">
              <controlPr defaultSize="0" autoLine="0" autoPict="0">
                <anchor moveWithCells="1">
                  <from>
                    <xdr:col>0</xdr:col>
                    <xdr:colOff>142875</xdr:colOff>
                    <xdr:row>46</xdr:row>
                    <xdr:rowOff>9525</xdr:rowOff>
                  </from>
                  <to>
                    <xdr:col>2</xdr:col>
                    <xdr:colOff>342900</xdr:colOff>
                    <xdr:row>47</xdr:row>
                    <xdr:rowOff>95250</xdr:rowOff>
                  </to>
                </anchor>
              </controlPr>
            </control>
          </mc:Choice>
        </mc:AlternateContent>
        <mc:AlternateContent xmlns:mc="http://schemas.openxmlformats.org/markup-compatibility/2006">
          <mc:Choice Requires="x14">
            <control shapeId="24620" r:id="rId25" name="Option Button 44">
              <controlPr defaultSize="0" autoFill="0" autoLine="0" autoPict="0">
                <anchor moveWithCells="1">
                  <from>
                    <xdr:col>0</xdr:col>
                    <xdr:colOff>152400</xdr:colOff>
                    <xdr:row>6</xdr:row>
                    <xdr:rowOff>76200</xdr:rowOff>
                  </from>
                  <to>
                    <xdr:col>1</xdr:col>
                    <xdr:colOff>266700</xdr:colOff>
                    <xdr:row>8</xdr:row>
                    <xdr:rowOff>9525</xdr:rowOff>
                  </to>
                </anchor>
              </controlPr>
            </control>
          </mc:Choice>
        </mc:AlternateContent>
        <mc:AlternateContent xmlns:mc="http://schemas.openxmlformats.org/markup-compatibility/2006">
          <mc:Choice Requires="x14">
            <control shapeId="24621" r:id="rId26" name="Option Button 45">
              <controlPr defaultSize="0" autoFill="0" autoLine="0" autoPict="0">
                <anchor moveWithCells="1">
                  <from>
                    <xdr:col>1</xdr:col>
                    <xdr:colOff>257175</xdr:colOff>
                    <xdr:row>6</xdr:row>
                    <xdr:rowOff>76200</xdr:rowOff>
                  </from>
                  <to>
                    <xdr:col>2</xdr:col>
                    <xdr:colOff>361950</xdr:colOff>
                    <xdr:row>8</xdr:row>
                    <xdr:rowOff>9525</xdr:rowOff>
                  </to>
                </anchor>
              </controlPr>
            </control>
          </mc:Choice>
        </mc:AlternateContent>
        <mc:AlternateContent xmlns:mc="http://schemas.openxmlformats.org/markup-compatibility/2006">
          <mc:Choice Requires="x14">
            <control shapeId="24622" r:id="rId27" name="Check Box 46">
              <controlPr defaultSize="0" autoFill="0" autoLine="0" autoPict="0">
                <anchor moveWithCells="1">
                  <from>
                    <xdr:col>6</xdr:col>
                    <xdr:colOff>371475</xdr:colOff>
                    <xdr:row>24</xdr:row>
                    <xdr:rowOff>38100</xdr:rowOff>
                  </from>
                  <to>
                    <xdr:col>7</xdr:col>
                    <xdr:colOff>257175</xdr:colOff>
                    <xdr:row>25</xdr:row>
                    <xdr:rowOff>104775</xdr:rowOff>
                  </to>
                </anchor>
              </controlPr>
            </control>
          </mc:Choice>
        </mc:AlternateContent>
        <mc:AlternateContent xmlns:mc="http://schemas.openxmlformats.org/markup-compatibility/2006">
          <mc:Choice Requires="x14">
            <control shapeId="24623" r:id="rId28" name="Check Box 47">
              <controlPr defaultSize="0" autoFill="0" autoLine="0" autoPict="0">
                <anchor moveWithCells="1">
                  <from>
                    <xdr:col>8</xdr:col>
                    <xdr:colOff>428625</xdr:colOff>
                    <xdr:row>24</xdr:row>
                    <xdr:rowOff>38100</xdr:rowOff>
                  </from>
                  <to>
                    <xdr:col>9</xdr:col>
                    <xdr:colOff>95250</xdr:colOff>
                    <xdr:row>25</xdr:row>
                    <xdr:rowOff>104775</xdr:rowOff>
                  </to>
                </anchor>
              </controlPr>
            </control>
          </mc:Choice>
        </mc:AlternateContent>
        <mc:AlternateContent xmlns:mc="http://schemas.openxmlformats.org/markup-compatibility/2006">
          <mc:Choice Requires="x14">
            <control shapeId="24624" r:id="rId29" name="Check Box 48">
              <controlPr defaultSize="0" autoFill="0" autoLine="0" autoPict="0">
                <anchor moveWithCells="1">
                  <from>
                    <xdr:col>6</xdr:col>
                    <xdr:colOff>361950</xdr:colOff>
                    <xdr:row>25</xdr:row>
                    <xdr:rowOff>123825</xdr:rowOff>
                  </from>
                  <to>
                    <xdr:col>7</xdr:col>
                    <xdr:colOff>247650</xdr:colOff>
                    <xdr:row>27</xdr:row>
                    <xdr:rowOff>28575</xdr:rowOff>
                  </to>
                </anchor>
              </controlPr>
            </control>
          </mc:Choice>
        </mc:AlternateContent>
        <mc:AlternateContent xmlns:mc="http://schemas.openxmlformats.org/markup-compatibility/2006">
          <mc:Choice Requires="x14">
            <control shapeId="24625" r:id="rId30" name="Check Box 49">
              <controlPr defaultSize="0" autoFill="0" autoLine="0" autoPict="0">
                <anchor moveWithCells="1">
                  <from>
                    <xdr:col>8</xdr:col>
                    <xdr:colOff>428625</xdr:colOff>
                    <xdr:row>25</xdr:row>
                    <xdr:rowOff>95250</xdr:rowOff>
                  </from>
                  <to>
                    <xdr:col>9</xdr:col>
                    <xdr:colOff>95250</xdr:colOff>
                    <xdr:row>27</xdr:row>
                    <xdr:rowOff>0</xdr:rowOff>
                  </to>
                </anchor>
              </controlPr>
            </control>
          </mc:Choice>
        </mc:AlternateContent>
        <mc:AlternateContent xmlns:mc="http://schemas.openxmlformats.org/markup-compatibility/2006">
          <mc:Choice Requires="x14">
            <control shapeId="24627" r:id="rId31" name="Option Button 51">
              <controlPr defaultSize="0" autoFill="0" autoLine="0" autoPict="0">
                <anchor moveWithCells="1">
                  <from>
                    <xdr:col>0</xdr:col>
                    <xdr:colOff>0</xdr:colOff>
                    <xdr:row>34</xdr:row>
                    <xdr:rowOff>0</xdr:rowOff>
                  </from>
                  <to>
                    <xdr:col>4</xdr:col>
                    <xdr:colOff>19050</xdr:colOff>
                    <xdr:row>35</xdr:row>
                    <xdr:rowOff>57150</xdr:rowOff>
                  </to>
                </anchor>
              </controlPr>
            </control>
          </mc:Choice>
        </mc:AlternateContent>
        <mc:AlternateContent xmlns:mc="http://schemas.openxmlformats.org/markup-compatibility/2006">
          <mc:Choice Requires="x14">
            <control shapeId="24628" r:id="rId32" name="Option Button 52">
              <controlPr defaultSize="0" autoFill="0" autoLine="0" autoPict="0">
                <anchor moveWithCells="1">
                  <from>
                    <xdr:col>5</xdr:col>
                    <xdr:colOff>19050</xdr:colOff>
                    <xdr:row>34</xdr:row>
                    <xdr:rowOff>0</xdr:rowOff>
                  </from>
                  <to>
                    <xdr:col>9</xdr:col>
                    <xdr:colOff>228600</xdr:colOff>
                    <xdr:row>35</xdr:row>
                    <xdr:rowOff>57150</xdr:rowOff>
                  </to>
                </anchor>
              </controlPr>
            </control>
          </mc:Choice>
        </mc:AlternateContent>
        <mc:AlternateContent xmlns:mc="http://schemas.openxmlformats.org/markup-compatibility/2006">
          <mc:Choice Requires="x14">
            <control shapeId="24629" r:id="rId33" name="Option Button 53">
              <controlPr defaultSize="0" autoFill="0" autoLine="0" autoPict="0">
                <anchor moveWithCells="1">
                  <from>
                    <xdr:col>6</xdr:col>
                    <xdr:colOff>390525</xdr:colOff>
                    <xdr:row>62</xdr:row>
                    <xdr:rowOff>76200</xdr:rowOff>
                  </from>
                  <to>
                    <xdr:col>7</xdr:col>
                    <xdr:colOff>657225</xdr:colOff>
                    <xdr:row>63</xdr:row>
                    <xdr:rowOff>133350</xdr:rowOff>
                  </to>
                </anchor>
              </controlPr>
            </control>
          </mc:Choice>
        </mc:AlternateContent>
        <mc:AlternateContent xmlns:mc="http://schemas.openxmlformats.org/markup-compatibility/2006">
          <mc:Choice Requires="x14">
            <control shapeId="24630" r:id="rId34" name="Option Button 54">
              <controlPr defaultSize="0" autoFill="0" autoLine="0" autoPict="0">
                <anchor moveWithCells="1">
                  <from>
                    <xdr:col>8</xdr:col>
                    <xdr:colOff>200025</xdr:colOff>
                    <xdr:row>62</xdr:row>
                    <xdr:rowOff>66675</xdr:rowOff>
                  </from>
                  <to>
                    <xdr:col>9</xdr:col>
                    <xdr:colOff>485775</xdr:colOff>
                    <xdr:row>63</xdr:row>
                    <xdr:rowOff>123825</xdr:rowOff>
                  </to>
                </anchor>
              </controlPr>
            </control>
          </mc:Choice>
        </mc:AlternateContent>
        <mc:AlternateContent xmlns:mc="http://schemas.openxmlformats.org/markup-compatibility/2006">
          <mc:Choice Requires="x14">
            <control shapeId="24583" r:id="rId35" name="Option Button 7">
              <controlPr defaultSize="0" autoFill="0" autoLine="0" autoPict="0">
                <anchor moveWithCells="1">
                  <from>
                    <xdr:col>0</xdr:col>
                    <xdr:colOff>19050</xdr:colOff>
                    <xdr:row>37</xdr:row>
                    <xdr:rowOff>0</xdr:rowOff>
                  </from>
                  <to>
                    <xdr:col>9</xdr:col>
                    <xdr:colOff>876300</xdr:colOff>
                    <xdr:row>38</xdr:row>
                    <xdr:rowOff>57150</xdr:rowOff>
                  </to>
                </anchor>
              </controlPr>
            </control>
          </mc:Choice>
        </mc:AlternateContent>
        <mc:AlternateContent xmlns:mc="http://schemas.openxmlformats.org/markup-compatibility/2006">
          <mc:Choice Requires="x14">
            <control shapeId="24584" r:id="rId36" name="Option Button 8">
              <controlPr defaultSize="0" autoFill="0" autoLine="0" autoPict="0">
                <anchor moveWithCells="1">
                  <from>
                    <xdr:col>0</xdr:col>
                    <xdr:colOff>19050</xdr:colOff>
                    <xdr:row>38</xdr:row>
                    <xdr:rowOff>0</xdr:rowOff>
                  </from>
                  <to>
                    <xdr:col>9</xdr:col>
                    <xdr:colOff>523875</xdr:colOff>
                    <xdr:row>39</xdr:row>
                    <xdr:rowOff>57150</xdr:rowOff>
                  </to>
                </anchor>
              </controlPr>
            </control>
          </mc:Choice>
        </mc:AlternateContent>
        <mc:AlternateContent xmlns:mc="http://schemas.openxmlformats.org/markup-compatibility/2006">
          <mc:Choice Requires="x14">
            <control shapeId="24585" r:id="rId37" name="Option Button 9">
              <controlPr defaultSize="0" autoFill="0" autoLine="0" autoPict="0">
                <anchor moveWithCells="1">
                  <from>
                    <xdr:col>0</xdr:col>
                    <xdr:colOff>19050</xdr:colOff>
                    <xdr:row>39</xdr:row>
                    <xdr:rowOff>0</xdr:rowOff>
                  </from>
                  <to>
                    <xdr:col>9</xdr:col>
                    <xdr:colOff>571500</xdr:colOff>
                    <xdr:row>40</xdr:row>
                    <xdr:rowOff>57150</xdr:rowOff>
                  </to>
                </anchor>
              </controlPr>
            </control>
          </mc:Choice>
        </mc:AlternateContent>
        <mc:AlternateContent xmlns:mc="http://schemas.openxmlformats.org/markup-compatibility/2006">
          <mc:Choice Requires="x14">
            <control shapeId="24586" r:id="rId38" name="Option Button 10">
              <controlPr defaultSize="0" autoFill="0" autoLine="0" autoPict="0">
                <anchor moveWithCells="1">
                  <from>
                    <xdr:col>0</xdr:col>
                    <xdr:colOff>19050</xdr:colOff>
                    <xdr:row>40</xdr:row>
                    <xdr:rowOff>0</xdr:rowOff>
                  </from>
                  <to>
                    <xdr:col>8</xdr:col>
                    <xdr:colOff>0</xdr:colOff>
                    <xdr:row>41</xdr:row>
                    <xdr:rowOff>57150</xdr:rowOff>
                  </to>
                </anchor>
              </controlPr>
            </control>
          </mc:Choice>
        </mc:AlternateContent>
        <mc:AlternateContent xmlns:mc="http://schemas.openxmlformats.org/markup-compatibility/2006">
          <mc:Choice Requires="x14">
            <control shapeId="24587" r:id="rId39" name="Option Button 11">
              <controlPr defaultSize="0" autoFill="0" autoLine="0" autoPict="0">
                <anchor moveWithCells="1">
                  <from>
                    <xdr:col>0</xdr:col>
                    <xdr:colOff>19050</xdr:colOff>
                    <xdr:row>41</xdr:row>
                    <xdr:rowOff>0</xdr:rowOff>
                  </from>
                  <to>
                    <xdr:col>9</xdr:col>
                    <xdr:colOff>561975</xdr:colOff>
                    <xdr:row>42</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showGridLines="0" view="pageBreakPreview" zoomScaleNormal="125" workbookViewId="0">
      <selection activeCell="D24" sqref="D24"/>
    </sheetView>
  </sheetViews>
  <sheetFormatPr defaultRowHeight="12.75"/>
  <cols>
    <col min="1" max="1" width="10" style="23" customWidth="1"/>
    <col min="2" max="2" width="35.7109375" style="23" customWidth="1"/>
    <col min="3" max="3" width="3.5703125" style="23" customWidth="1"/>
    <col min="4" max="4" width="35.7109375" style="23" customWidth="1"/>
    <col min="5" max="6" width="8.7109375" style="23" customWidth="1"/>
    <col min="7" max="7" width="9.140625" style="202" hidden="1" customWidth="1"/>
    <col min="8" max="16384" width="9.140625" style="23"/>
  </cols>
  <sheetData>
    <row r="1" spans="1:7" ht="9.75" customHeight="1">
      <c r="A1" s="3"/>
      <c r="B1" s="3"/>
      <c r="C1" s="3"/>
      <c r="D1" s="3"/>
      <c r="E1" s="3"/>
      <c r="F1" s="3"/>
      <c r="G1" s="246" t="b">
        <v>0</v>
      </c>
    </row>
    <row r="2" spans="1:7" ht="16.5" customHeight="1">
      <c r="A2" s="3"/>
      <c r="B2" s="3"/>
      <c r="C2" s="3"/>
      <c r="D2" s="3"/>
      <c r="E2" s="3"/>
      <c r="F2" s="3"/>
      <c r="G2" s="188"/>
    </row>
    <row r="3" spans="1:7">
      <c r="A3" s="3"/>
      <c r="B3" s="3"/>
      <c r="C3" s="3"/>
      <c r="D3" s="3"/>
      <c r="E3" s="3"/>
      <c r="F3" s="3"/>
      <c r="G3" s="184" t="s">
        <v>2</v>
      </c>
    </row>
    <row r="4" spans="1:7" s="24" customFormat="1" ht="11.25">
      <c r="A4" s="172"/>
      <c r="B4" s="172"/>
      <c r="C4" s="172"/>
      <c r="D4" s="27" t="s">
        <v>99</v>
      </c>
      <c r="E4" s="265" t="s">
        <v>100</v>
      </c>
      <c r="F4" s="5"/>
      <c r="G4" s="184" t="s">
        <v>5</v>
      </c>
    </row>
    <row r="5" spans="1:7">
      <c r="A5" s="3"/>
      <c r="B5" s="3"/>
      <c r="C5" s="10"/>
      <c r="D5" s="3"/>
      <c r="E5" s="357"/>
      <c r="F5" s="10"/>
      <c r="G5" s="184" t="s">
        <v>10</v>
      </c>
    </row>
    <row r="6" spans="1:7" s="24" customFormat="1" ht="8.25">
      <c r="A6" s="6" t="s">
        <v>73</v>
      </c>
      <c r="B6" s="7"/>
      <c r="C6" s="8"/>
      <c r="D6" s="7" t="s">
        <v>257</v>
      </c>
      <c r="E6" s="5"/>
      <c r="F6" s="12"/>
      <c r="G6" s="201"/>
    </row>
    <row r="7" spans="1:7">
      <c r="A7" s="9"/>
      <c r="B7" s="10"/>
      <c r="C7" s="11"/>
      <c r="D7" s="15"/>
      <c r="E7" s="10"/>
      <c r="F7" s="11"/>
    </row>
    <row r="8" spans="1:7" s="24" customFormat="1" ht="8.25">
      <c r="A8" s="6" t="s">
        <v>74</v>
      </c>
      <c r="B8" s="7"/>
      <c r="C8" s="8"/>
      <c r="D8" s="7" t="s">
        <v>258</v>
      </c>
      <c r="E8" s="7"/>
      <c r="F8" s="8"/>
      <c r="G8" s="201"/>
    </row>
    <row r="9" spans="1:7" ht="13.5" thickBot="1">
      <c r="A9" s="9"/>
      <c r="B9" s="10"/>
      <c r="C9" s="11"/>
      <c r="D9" s="15"/>
      <c r="E9" s="10"/>
      <c r="F9" s="11"/>
    </row>
    <row r="10" spans="1:7" s="207" customFormat="1" ht="29.25" customHeight="1">
      <c r="A10" s="264" t="s">
        <v>208</v>
      </c>
      <c r="B10" s="442" t="s">
        <v>105</v>
      </c>
      <c r="C10" s="209"/>
      <c r="D10" s="442" t="s">
        <v>106</v>
      </c>
      <c r="E10" s="355" t="s">
        <v>25</v>
      </c>
      <c r="F10" s="356" t="s">
        <v>75</v>
      </c>
      <c r="G10" s="244"/>
    </row>
    <row r="11" spans="1:7" s="211" customFormat="1">
      <c r="A11" s="212"/>
      <c r="B11" s="213"/>
      <c r="C11" s="213"/>
      <c r="D11" s="213"/>
      <c r="E11" s="213"/>
      <c r="F11" s="214"/>
      <c r="G11" s="245"/>
    </row>
    <row r="12" spans="1:7" s="211" customFormat="1">
      <c r="A12" s="212"/>
      <c r="B12" s="213"/>
      <c r="C12" s="213"/>
      <c r="D12" s="213"/>
      <c r="E12" s="213"/>
      <c r="F12" s="214"/>
      <c r="G12" s="245"/>
    </row>
    <row r="13" spans="1:7" s="211" customFormat="1">
      <c r="A13" s="212"/>
      <c r="B13" s="213"/>
      <c r="C13" s="213"/>
      <c r="D13" s="213"/>
      <c r="E13" s="213"/>
      <c r="F13" s="214"/>
      <c r="G13" s="245"/>
    </row>
    <row r="14" spans="1:7" s="211" customFormat="1">
      <c r="A14" s="212"/>
      <c r="B14" s="213"/>
      <c r="C14" s="213"/>
      <c r="D14" s="213"/>
      <c r="E14" s="213"/>
      <c r="F14" s="214"/>
      <c r="G14" s="245"/>
    </row>
    <row r="15" spans="1:7" s="211" customFormat="1">
      <c r="A15" s="212"/>
      <c r="B15" s="213"/>
      <c r="C15" s="213"/>
      <c r="D15" s="213"/>
      <c r="E15" s="213"/>
      <c r="F15" s="214"/>
      <c r="G15" s="245"/>
    </row>
    <row r="16" spans="1:7" s="211" customFormat="1">
      <c r="A16" s="212"/>
      <c r="B16" s="213"/>
      <c r="C16" s="213"/>
      <c r="D16" s="213"/>
      <c r="E16" s="213"/>
      <c r="F16" s="214"/>
      <c r="G16" s="245"/>
    </row>
    <row r="17" spans="1:7" s="211" customFormat="1">
      <c r="A17" s="212"/>
      <c r="B17" s="213"/>
      <c r="C17" s="213"/>
      <c r="D17" s="213"/>
      <c r="E17" s="213"/>
      <c r="F17" s="214"/>
      <c r="G17" s="245"/>
    </row>
    <row r="18" spans="1:7" s="211" customFormat="1">
      <c r="A18" s="212"/>
      <c r="B18" s="213"/>
      <c r="C18" s="213"/>
      <c r="D18" s="213"/>
      <c r="E18" s="213"/>
      <c r="F18" s="214"/>
      <c r="G18" s="245"/>
    </row>
    <row r="19" spans="1:7" s="211" customFormat="1">
      <c r="A19" s="212"/>
      <c r="B19" s="213"/>
      <c r="C19" s="213"/>
      <c r="D19" s="213"/>
      <c r="E19" s="213"/>
      <c r="F19" s="214"/>
      <c r="G19" s="245"/>
    </row>
    <row r="20" spans="1:7" s="211" customFormat="1">
      <c r="A20" s="212"/>
      <c r="B20" s="213"/>
      <c r="C20" s="213"/>
      <c r="D20" s="213"/>
      <c r="E20" s="213"/>
      <c r="F20" s="214"/>
      <c r="G20" s="245"/>
    </row>
    <row r="21" spans="1:7" s="211" customFormat="1">
      <c r="A21" s="212"/>
      <c r="B21" s="213"/>
      <c r="C21" s="213"/>
      <c r="D21" s="213"/>
      <c r="E21" s="213"/>
      <c r="F21" s="214"/>
      <c r="G21" s="245"/>
    </row>
    <row r="22" spans="1:7" s="211" customFormat="1">
      <c r="A22" s="212"/>
      <c r="B22" s="213"/>
      <c r="C22" s="213"/>
      <c r="D22" s="213"/>
      <c r="E22" s="213"/>
      <c r="F22" s="214"/>
      <c r="G22" s="245"/>
    </row>
    <row r="23" spans="1:7" s="211" customFormat="1">
      <c r="A23" s="212"/>
      <c r="B23" s="213"/>
      <c r="C23" s="213"/>
      <c r="D23" s="213"/>
      <c r="E23" s="213"/>
      <c r="F23" s="214"/>
      <c r="G23" s="245"/>
    </row>
    <row r="24" spans="1:7" s="211" customFormat="1">
      <c r="A24" s="212"/>
      <c r="B24" s="213"/>
      <c r="C24" s="213"/>
      <c r="D24" s="213"/>
      <c r="E24" s="213"/>
      <c r="F24" s="214"/>
      <c r="G24" s="245"/>
    </row>
    <row r="25" spans="1:7" s="211" customFormat="1">
      <c r="A25" s="212"/>
      <c r="B25" s="213"/>
      <c r="C25" s="213"/>
      <c r="D25" s="213"/>
      <c r="E25" s="213"/>
      <c r="F25" s="214"/>
      <c r="G25" s="245"/>
    </row>
    <row r="26" spans="1:7" s="211" customFormat="1">
      <c r="A26" s="212"/>
      <c r="B26" s="213"/>
      <c r="C26" s="213"/>
      <c r="D26" s="213"/>
      <c r="E26" s="213"/>
      <c r="F26" s="214"/>
      <c r="G26" s="245"/>
    </row>
    <row r="27" spans="1:7" s="211" customFormat="1">
      <c r="A27" s="212"/>
      <c r="B27" s="213"/>
      <c r="C27" s="213"/>
      <c r="D27" s="213"/>
      <c r="E27" s="213"/>
      <c r="F27" s="214"/>
      <c r="G27" s="245"/>
    </row>
    <row r="28" spans="1:7" s="211" customFormat="1">
      <c r="A28" s="212"/>
      <c r="B28" s="213"/>
      <c r="C28" s="213"/>
      <c r="D28" s="213"/>
      <c r="E28" s="213"/>
      <c r="F28" s="214"/>
      <c r="G28" s="245"/>
    </row>
    <row r="29" spans="1:7" s="211" customFormat="1">
      <c r="A29" s="212"/>
      <c r="B29" s="213"/>
      <c r="C29" s="213"/>
      <c r="D29" s="213"/>
      <c r="E29" s="213"/>
      <c r="F29" s="214"/>
      <c r="G29" s="245"/>
    </row>
    <row r="30" spans="1:7" s="211" customFormat="1">
      <c r="A30" s="212"/>
      <c r="B30" s="213"/>
      <c r="C30" s="213"/>
      <c r="D30" s="213"/>
      <c r="E30" s="213"/>
      <c r="F30" s="214"/>
      <c r="G30" s="245"/>
    </row>
    <row r="31" spans="1:7" s="211" customFormat="1">
      <c r="A31" s="212"/>
      <c r="B31" s="213"/>
      <c r="C31" s="213"/>
      <c r="D31" s="213"/>
      <c r="E31" s="213"/>
      <c r="F31" s="214"/>
      <c r="G31" s="245"/>
    </row>
    <row r="32" spans="1:7" s="211" customFormat="1">
      <c r="A32" s="212"/>
      <c r="B32" s="213"/>
      <c r="C32" s="213"/>
      <c r="D32" s="213"/>
      <c r="E32" s="213"/>
      <c r="F32" s="214"/>
      <c r="G32" s="245"/>
    </row>
    <row r="33" spans="1:7" s="211" customFormat="1">
      <c r="A33" s="212"/>
      <c r="B33" s="213"/>
      <c r="C33" s="213"/>
      <c r="D33" s="213"/>
      <c r="E33" s="213"/>
      <c r="F33" s="214"/>
      <c r="G33" s="245"/>
    </row>
    <row r="34" spans="1:7" s="211" customFormat="1">
      <c r="A34" s="212"/>
      <c r="B34" s="213"/>
      <c r="C34" s="213"/>
      <c r="D34" s="213"/>
      <c r="E34" s="213"/>
      <c r="F34" s="214"/>
      <c r="G34" s="245"/>
    </row>
    <row r="35" spans="1:7" s="211" customFormat="1">
      <c r="A35" s="212"/>
      <c r="B35" s="213"/>
      <c r="C35" s="213"/>
      <c r="D35" s="213"/>
      <c r="E35" s="213"/>
      <c r="F35" s="214"/>
      <c r="G35" s="245"/>
    </row>
    <row r="36" spans="1:7" s="211" customFormat="1">
      <c r="A36" s="212"/>
      <c r="B36" s="213"/>
      <c r="C36" s="213"/>
      <c r="D36" s="213"/>
      <c r="E36" s="213"/>
      <c r="F36" s="214"/>
      <c r="G36" s="245"/>
    </row>
    <row r="37" spans="1:7" s="211" customFormat="1">
      <c r="A37" s="212"/>
      <c r="B37" s="213"/>
      <c r="C37" s="213"/>
      <c r="D37" s="213"/>
      <c r="E37" s="213"/>
      <c r="F37" s="214"/>
      <c r="G37" s="245"/>
    </row>
    <row r="38" spans="1:7" s="211" customFormat="1">
      <c r="A38" s="212"/>
      <c r="B38" s="213"/>
      <c r="C38" s="213"/>
      <c r="D38" s="213"/>
      <c r="E38" s="213"/>
      <c r="F38" s="214"/>
      <c r="G38" s="245"/>
    </row>
    <row r="39" spans="1:7" s="211" customFormat="1">
      <c r="A39" s="212"/>
      <c r="B39" s="213"/>
      <c r="C39" s="213"/>
      <c r="D39" s="213"/>
      <c r="E39" s="213"/>
      <c r="F39" s="214"/>
      <c r="G39" s="245"/>
    </row>
    <row r="40" spans="1:7" s="211" customFormat="1">
      <c r="A40" s="212"/>
      <c r="B40" s="213"/>
      <c r="C40" s="213"/>
      <c r="D40" s="213"/>
      <c r="E40" s="213"/>
      <c r="F40" s="214"/>
      <c r="G40" s="245"/>
    </row>
    <row r="41" spans="1:7" s="211" customFormat="1">
      <c r="A41" s="212"/>
      <c r="B41" s="213"/>
      <c r="C41" s="213"/>
      <c r="D41" s="213"/>
      <c r="E41" s="213"/>
      <c r="F41" s="214"/>
      <c r="G41" s="245"/>
    </row>
    <row r="42" spans="1:7" s="211" customFormat="1">
      <c r="A42" s="212"/>
      <c r="B42" s="213"/>
      <c r="C42" s="213"/>
      <c r="D42" s="213"/>
      <c r="E42" s="213"/>
      <c r="F42" s="214"/>
      <c r="G42" s="245"/>
    </row>
    <row r="43" spans="1:7" s="211" customFormat="1">
      <c r="A43" s="212"/>
      <c r="B43" s="213"/>
      <c r="C43" s="213"/>
      <c r="D43" s="213"/>
      <c r="E43" s="213"/>
      <c r="F43" s="214"/>
      <c r="G43" s="245"/>
    </row>
    <row r="44" spans="1:7" s="211" customFormat="1">
      <c r="A44" s="212"/>
      <c r="B44" s="213"/>
      <c r="C44" s="213"/>
      <c r="D44" s="213"/>
      <c r="E44" s="213"/>
      <c r="F44" s="214"/>
      <c r="G44" s="245"/>
    </row>
    <row r="45" spans="1:7" s="211" customFormat="1">
      <c r="A45" s="212"/>
      <c r="B45" s="213"/>
      <c r="C45" s="213"/>
      <c r="D45" s="213"/>
      <c r="E45" s="213"/>
      <c r="F45" s="214"/>
      <c r="G45" s="245"/>
    </row>
    <row r="46" spans="1:7" s="211" customFormat="1">
      <c r="A46" s="212"/>
      <c r="B46" s="213"/>
      <c r="C46" s="213"/>
      <c r="D46" s="213"/>
      <c r="E46" s="213"/>
      <c r="F46" s="214"/>
      <c r="G46" s="245"/>
    </row>
    <row r="47" spans="1:7" s="211" customFormat="1">
      <c r="A47" s="212"/>
      <c r="B47" s="213"/>
      <c r="C47" s="213"/>
      <c r="D47" s="213"/>
      <c r="E47" s="213"/>
      <c r="F47" s="214"/>
      <c r="G47" s="245"/>
    </row>
    <row r="48" spans="1:7" s="211" customFormat="1" ht="13.5" thickBot="1">
      <c r="A48" s="215"/>
      <c r="B48" s="216"/>
      <c r="C48" s="216"/>
      <c r="D48" s="216"/>
      <c r="E48" s="216"/>
      <c r="F48" s="217"/>
      <c r="G48" s="245"/>
    </row>
    <row r="49" spans="1:7">
      <c r="A49" s="3"/>
      <c r="B49" s="3"/>
      <c r="C49" s="3"/>
      <c r="D49" s="3"/>
      <c r="E49" s="3"/>
      <c r="F49" s="3"/>
    </row>
    <row r="50" spans="1:7" s="24" customFormat="1" ht="11.25">
      <c r="A50" s="172"/>
      <c r="B50" s="56" t="s">
        <v>76</v>
      </c>
      <c r="C50" s="56"/>
      <c r="D50" s="56" t="s">
        <v>35</v>
      </c>
      <c r="E50" s="257" t="s">
        <v>27</v>
      </c>
      <c r="F50" s="266"/>
      <c r="G50" s="201"/>
    </row>
    <row r="51" spans="1:7">
      <c r="A51" s="3"/>
      <c r="B51" s="219"/>
      <c r="C51" s="219"/>
      <c r="D51" s="219"/>
      <c r="E51" s="218"/>
      <c r="F51" s="198"/>
    </row>
  </sheetData>
  <phoneticPr fontId="16" type="noConversion"/>
  <pageMargins left="0.39370078740157483" right="0.31496062992125984" top="0.6692913385826772" bottom="0.70866141732283472" header="0.39370078740157483" footer="0.51181102362204722"/>
  <pageSetup scale="99" orientation="portrait" r:id="rId1"/>
  <headerFooter alignWithMargins="0">
    <oddHeader>&amp;R
&amp;P of &amp;N</oddHeader>
    <oddFooter>&amp;A&amp;RСтраница &amp;P</oddFooter>
  </headerFooter>
  <customProperties>
    <customPr name="Ibp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zoomScale="130" workbookViewId="0">
      <selection activeCell="G29" sqref="G29"/>
    </sheetView>
  </sheetViews>
  <sheetFormatPr defaultRowHeight="12.75"/>
  <cols>
    <col min="4" max="4" width="10.42578125" customWidth="1"/>
    <col min="5" max="5" width="7.42578125" customWidth="1"/>
    <col min="9" max="9" width="12.140625" customWidth="1"/>
  </cols>
  <sheetData>
    <row r="1" spans="1:9">
      <c r="A1" s="1056"/>
      <c r="B1" s="1057"/>
      <c r="C1" s="1057"/>
      <c r="D1" s="1057"/>
      <c r="E1" s="1057"/>
      <c r="F1" s="1057"/>
      <c r="G1" s="1057"/>
      <c r="H1" s="1057"/>
      <c r="I1" s="1058"/>
    </row>
    <row r="2" spans="1:9">
      <c r="A2" s="1059" t="s">
        <v>243</v>
      </c>
      <c r="B2" s="1060"/>
      <c r="C2" s="1060"/>
      <c r="D2" s="1060"/>
      <c r="E2" s="1060"/>
      <c r="F2" s="1060"/>
      <c r="G2" s="1060"/>
      <c r="H2" s="1060"/>
      <c r="I2" s="1061"/>
    </row>
    <row r="3" spans="1:9">
      <c r="A3" s="476" t="s">
        <v>750</v>
      </c>
      <c r="B3" s="38"/>
      <c r="C3" s="38"/>
      <c r="D3" s="38"/>
      <c r="E3" s="38"/>
      <c r="F3" s="38"/>
      <c r="G3" s="38"/>
      <c r="H3" s="38"/>
      <c r="I3" s="477"/>
    </row>
    <row r="4" spans="1:9">
      <c r="A4" s="476"/>
      <c r="B4" s="38"/>
      <c r="C4" s="38"/>
      <c r="D4" s="38"/>
      <c r="E4" s="38"/>
      <c r="F4" s="38"/>
      <c r="G4" s="38"/>
      <c r="H4" s="38"/>
      <c r="I4" s="477"/>
    </row>
    <row r="5" spans="1:9">
      <c r="A5" s="478" t="s">
        <v>751</v>
      </c>
      <c r="B5" s="479"/>
      <c r="C5" s="480"/>
      <c r="D5" s="481" t="s">
        <v>752</v>
      </c>
      <c r="E5" s="479"/>
      <c r="F5" s="482"/>
      <c r="G5" s="480"/>
      <c r="H5" s="481"/>
      <c r="I5" s="483"/>
    </row>
    <row r="6" spans="1:9">
      <c r="A6" s="484"/>
      <c r="B6" s="485"/>
      <c r="C6" s="486"/>
      <c r="D6" s="487"/>
      <c r="E6" s="488"/>
      <c r="F6" s="488"/>
      <c r="G6" s="489"/>
      <c r="H6" s="490"/>
      <c r="I6" s="491"/>
    </row>
    <row r="7" spans="1:9">
      <c r="A7" s="492" t="s">
        <v>753</v>
      </c>
      <c r="B7" s="479"/>
      <c r="C7" s="493"/>
      <c r="D7" s="494" t="s">
        <v>754</v>
      </c>
      <c r="E7" s="154"/>
      <c r="F7" s="494" t="s">
        <v>755</v>
      </c>
      <c r="G7" s="7"/>
      <c r="H7" s="479"/>
      <c r="I7" s="495"/>
    </row>
    <row r="8" spans="1:9">
      <c r="A8" s="484"/>
      <c r="B8" s="488"/>
      <c r="C8" s="489"/>
      <c r="D8" s="496"/>
      <c r="E8" s="497"/>
      <c r="F8" s="487"/>
      <c r="G8" s="488"/>
      <c r="H8" s="488"/>
      <c r="I8" s="491"/>
    </row>
    <row r="9" spans="1:9">
      <c r="A9" s="492" t="s">
        <v>756</v>
      </c>
      <c r="B9" s="479"/>
      <c r="C9" s="493"/>
      <c r="D9" s="494" t="s">
        <v>757</v>
      </c>
      <c r="E9" s="493"/>
      <c r="F9" s="494" t="s">
        <v>758</v>
      </c>
      <c r="G9" s="498"/>
      <c r="H9" s="498"/>
      <c r="I9" s="495"/>
    </row>
    <row r="10" spans="1:9">
      <c r="A10" s="499"/>
      <c r="B10" s="488"/>
      <c r="C10" s="489"/>
      <c r="D10" s="490" t="s">
        <v>0</v>
      </c>
      <c r="E10" s="489"/>
      <c r="F10" s="490"/>
      <c r="G10" s="488"/>
      <c r="H10" s="488"/>
      <c r="I10" s="491"/>
    </row>
    <row r="11" spans="1:9">
      <c r="A11" s="492"/>
      <c r="B11" s="498"/>
      <c r="C11" s="493"/>
      <c r="D11" s="494" t="s">
        <v>759</v>
      </c>
      <c r="E11" s="498"/>
      <c r="F11" s="493"/>
      <c r="G11" s="494" t="s">
        <v>760</v>
      </c>
      <c r="H11" s="498"/>
      <c r="I11" s="495"/>
    </row>
    <row r="12" spans="1:9">
      <c r="A12" s="500"/>
      <c r="B12" s="488"/>
      <c r="C12" s="489"/>
      <c r="D12" s="490" t="s">
        <v>0</v>
      </c>
      <c r="E12" s="488"/>
      <c r="F12" s="489"/>
      <c r="G12" s="496"/>
      <c r="H12" s="501"/>
      <c r="I12" s="502"/>
    </row>
    <row r="13" spans="1:9">
      <c r="A13" s="503"/>
      <c r="B13" s="83"/>
      <c r="C13" s="83"/>
      <c r="D13" s="83"/>
      <c r="E13" s="83"/>
      <c r="F13" s="83"/>
      <c r="G13" s="83"/>
      <c r="H13" s="83"/>
      <c r="I13" s="90"/>
    </row>
    <row r="14" spans="1:9" ht="20.25">
      <c r="A14" s="504" t="s">
        <v>243</v>
      </c>
      <c r="B14" s="505"/>
      <c r="C14" s="505"/>
      <c r="D14" s="505"/>
      <c r="E14" s="505"/>
      <c r="F14" s="505"/>
      <c r="G14" s="505"/>
      <c r="H14" s="505"/>
      <c r="I14" s="506"/>
    </row>
    <row r="15" spans="1:9">
      <c r="A15" s="507" t="s">
        <v>761</v>
      </c>
      <c r="B15" s="113"/>
      <c r="C15" s="113"/>
      <c r="D15" s="114"/>
      <c r="E15" s="112" t="s">
        <v>762</v>
      </c>
      <c r="F15" s="479"/>
      <c r="G15" s="479"/>
      <c r="H15" s="479"/>
      <c r="I15" s="508"/>
    </row>
    <row r="16" spans="1:9">
      <c r="A16" s="509"/>
      <c r="B16" s="510"/>
      <c r="C16" s="510"/>
      <c r="D16" s="511"/>
      <c r="E16" s="512"/>
      <c r="F16" s="510"/>
      <c r="G16" s="510"/>
      <c r="H16" s="510"/>
      <c r="I16" s="513"/>
    </row>
    <row r="17" spans="1:9">
      <c r="A17" s="509"/>
      <c r="B17" s="115"/>
      <c r="C17" s="115"/>
      <c r="D17" s="116"/>
      <c r="E17" s="512"/>
      <c r="F17" s="115"/>
      <c r="G17" s="115"/>
      <c r="H17" s="115"/>
      <c r="I17" s="119"/>
    </row>
    <row r="18" spans="1:9">
      <c r="A18" s="514"/>
      <c r="B18" s="83"/>
      <c r="C18" s="83"/>
      <c r="D18" s="88"/>
      <c r="E18" s="515"/>
      <c r="F18" s="83"/>
      <c r="G18" s="83"/>
      <c r="H18" s="83"/>
      <c r="I18" s="90"/>
    </row>
    <row r="19" spans="1:9" ht="15">
      <c r="A19" s="516"/>
      <c r="B19" s="517"/>
      <c r="C19" s="517"/>
      <c r="D19" s="517"/>
      <c r="E19" s="517"/>
      <c r="F19" s="517"/>
      <c r="G19" s="517"/>
      <c r="H19" s="517"/>
      <c r="I19" s="518"/>
    </row>
    <row r="20" spans="1:9" ht="13.5" thickBot="1">
      <c r="A20" s="519"/>
      <c r="B20" s="520"/>
      <c r="C20" s="520"/>
      <c r="D20" s="520"/>
      <c r="E20" s="520"/>
      <c r="F20" s="520"/>
      <c r="G20" s="520"/>
      <c r="H20" s="520"/>
      <c r="I20" s="521"/>
    </row>
  </sheetData>
  <mergeCells count="2">
    <mergeCell ref="A1:I1"/>
    <mergeCell ref="A2:I2"/>
  </mergeCells>
  <phoneticPr fontId="16" type="noConversion"/>
  <pageMargins left="0.75" right="0.75" top="1" bottom="1" header="0.5" footer="0.5"/>
  <pageSetup paperSize="9" orientation="portrait" r:id="rId1"/>
  <headerFooter alignWithMargins="0"/>
  <customProperties>
    <customPr name="IbpWorksheetKeyString_GUID" r:id="rId2"/>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51"/>
  <sheetViews>
    <sheetView showGridLines="0" topLeftCell="A7" workbookViewId="0">
      <selection activeCell="I49" sqref="I49"/>
    </sheetView>
  </sheetViews>
  <sheetFormatPr defaultRowHeight="12.75"/>
  <cols>
    <col min="1" max="2" width="4.28515625" style="183" customWidth="1"/>
    <col min="3" max="7" width="4.7109375" style="183" customWidth="1"/>
    <col min="8" max="11" width="3.7109375" style="183" customWidth="1"/>
    <col min="12" max="15" width="3.85546875" style="183" customWidth="1"/>
    <col min="16" max="20" width="4.7109375" style="183" customWidth="1"/>
    <col min="21" max="21" width="5.42578125" style="183" customWidth="1"/>
    <col min="22" max="22" width="4.85546875" style="183" customWidth="1"/>
    <col min="23" max="23" width="5.42578125" style="183" customWidth="1"/>
    <col min="24" max="27" width="4.7109375" style="183" customWidth="1"/>
    <col min="28" max="29" width="7.7109375" style="183" customWidth="1"/>
    <col min="30" max="31" width="5.28515625" style="183" customWidth="1"/>
    <col min="32" max="32" width="0" style="228" hidden="1" customWidth="1"/>
    <col min="33" max="33" width="9.140625" style="228"/>
    <col min="34" max="16384" width="9.140625" style="183"/>
  </cols>
  <sheetData>
    <row r="1" spans="1:33" s="180" customFormat="1" ht="17.25" customHeight="1">
      <c r="A1"/>
      <c r="B1"/>
      <c r="C1"/>
      <c r="D1"/>
      <c r="E1" s="30"/>
      <c r="F1" s="30"/>
      <c r="G1" s="30"/>
      <c r="H1" s="30"/>
      <c r="I1" s="30"/>
      <c r="J1" s="31"/>
      <c r="K1" s="30"/>
      <c r="L1" s="32"/>
      <c r="M1" s="33" t="s">
        <v>139</v>
      </c>
      <c r="N1" s="32"/>
      <c r="O1" s="4"/>
      <c r="P1" s="32"/>
      <c r="Q1" s="32"/>
      <c r="R1" s="32"/>
      <c r="S1" s="32"/>
      <c r="T1" s="32"/>
      <c r="U1" s="32"/>
      <c r="V1" s="32"/>
      <c r="W1" s="30"/>
      <c r="X1" s="30"/>
      <c r="Y1" s="30"/>
      <c r="Z1" s="30"/>
      <c r="AA1" s="30"/>
      <c r="AB1" s="30"/>
      <c r="AC1" s="30"/>
      <c r="AD1" s="30"/>
      <c r="AE1" s="30"/>
      <c r="AF1" s="228"/>
      <c r="AG1" s="228"/>
    </row>
    <row r="2" spans="1:33" s="181" customFormat="1" ht="17.25" customHeight="1">
      <c r="A2"/>
      <c r="B2"/>
      <c r="C2"/>
      <c r="D2"/>
      <c r="E2" s="35"/>
      <c r="F2" s="35"/>
      <c r="G2" s="35"/>
      <c r="H2" s="35"/>
      <c r="I2" s="35"/>
      <c r="J2" s="34"/>
      <c r="K2" s="35"/>
      <c r="L2" s="35"/>
      <c r="M2" s="35"/>
      <c r="N2" s="35"/>
      <c r="O2" s="35"/>
      <c r="P2" s="35"/>
      <c r="Q2" s="35"/>
      <c r="R2" s="35"/>
      <c r="S2" s="35"/>
      <c r="T2" s="35"/>
      <c r="U2" s="35"/>
      <c r="V2" s="35"/>
      <c r="W2" s="35"/>
      <c r="X2" s="35"/>
      <c r="Y2" s="35"/>
      <c r="Z2" s="35"/>
      <c r="AA2" s="35"/>
      <c r="AB2" s="35"/>
      <c r="AC2" s="35"/>
      <c r="AD2" s="35"/>
      <c r="AE2" s="35"/>
      <c r="AF2" s="206"/>
      <c r="AG2" s="206"/>
    </row>
    <row r="3" spans="1:33" s="182" customFormat="1" ht="11.25">
      <c r="A3" s="36"/>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240" t="s">
        <v>2</v>
      </c>
      <c r="AG3" s="185"/>
    </row>
    <row r="4" spans="1:33" s="182" customFormat="1" ht="11.25">
      <c r="A4" s="50"/>
      <c r="B4" s="1"/>
      <c r="C4" s="1"/>
      <c r="D4" s="1"/>
      <c r="E4" s="1"/>
      <c r="F4" s="1"/>
      <c r="G4" s="1"/>
      <c r="H4" s="1"/>
      <c r="I4" s="1"/>
      <c r="J4" s="1"/>
      <c r="K4" s="1"/>
      <c r="L4" s="1"/>
      <c r="M4" s="1"/>
      <c r="N4" s="227"/>
      <c r="O4" s="1"/>
      <c r="P4" s="1"/>
      <c r="Q4" s="1"/>
      <c r="R4" s="1"/>
      <c r="S4" s="1"/>
      <c r="T4" s="1"/>
      <c r="U4" s="1"/>
      <c r="V4" s="1"/>
      <c r="W4" s="1"/>
      <c r="X4" s="1"/>
      <c r="Y4" s="1"/>
      <c r="Z4" s="1"/>
      <c r="AA4" s="1"/>
      <c r="AB4" s="1"/>
      <c r="AC4" s="38"/>
      <c r="AD4" s="38"/>
      <c r="AE4" s="38"/>
      <c r="AF4" s="241" t="s">
        <v>3</v>
      </c>
      <c r="AG4" s="185"/>
    </row>
    <row r="5" spans="1:33" s="182" customFormat="1" ht="11.25">
      <c r="A5" s="223" t="s">
        <v>104</v>
      </c>
      <c r="B5" s="222"/>
      <c r="C5" s="222"/>
      <c r="D5" s="222"/>
      <c r="E5" s="222"/>
      <c r="F5" s="222"/>
      <c r="G5" s="222"/>
      <c r="H5" s="222"/>
      <c r="I5" s="222"/>
      <c r="J5" s="222"/>
      <c r="K5" s="222"/>
      <c r="L5" s="226"/>
      <c r="M5" s="223" t="s">
        <v>39</v>
      </c>
      <c r="N5" s="222"/>
      <c r="O5" s="222"/>
      <c r="P5" s="222"/>
      <c r="Q5" s="222"/>
      <c r="R5" s="222"/>
      <c r="S5" s="222"/>
      <c r="T5" s="222"/>
      <c r="U5" s="222"/>
      <c r="V5" s="222"/>
      <c r="W5" s="226"/>
      <c r="X5" s="223" t="s">
        <v>40</v>
      </c>
      <c r="Y5" s="222"/>
      <c r="Z5" s="222"/>
      <c r="AA5" s="222"/>
      <c r="AB5" s="222"/>
      <c r="AC5" s="39"/>
      <c r="AD5" s="39"/>
      <c r="AE5" s="154"/>
      <c r="AF5" s="241" t="s">
        <v>4</v>
      </c>
      <c r="AG5" s="185"/>
    </row>
    <row r="6" spans="1:33">
      <c r="A6" s="267"/>
      <c r="B6" s="276"/>
      <c r="C6" s="276"/>
      <c r="D6" s="276"/>
      <c r="E6" s="276"/>
      <c r="F6" s="276"/>
      <c r="G6" s="276"/>
      <c r="H6" s="276"/>
      <c r="I6" s="276"/>
      <c r="J6" s="276"/>
      <c r="K6" s="276"/>
      <c r="L6" s="277"/>
      <c r="M6" s="385"/>
      <c r="N6" s="276"/>
      <c r="O6" s="276"/>
      <c r="P6" s="276"/>
      <c r="Q6" s="276"/>
      <c r="R6" s="276"/>
      <c r="S6" s="276"/>
      <c r="T6" s="276"/>
      <c r="U6" s="276"/>
      <c r="V6" s="276"/>
      <c r="W6" s="277"/>
      <c r="X6" s="385"/>
      <c r="Y6" s="276"/>
      <c r="Z6" s="276"/>
      <c r="AA6" s="276"/>
      <c r="AB6" s="276"/>
      <c r="AC6" s="41"/>
      <c r="AD6" s="41"/>
      <c r="AE6" s="42"/>
      <c r="AF6" s="241" t="s">
        <v>5</v>
      </c>
    </row>
    <row r="7" spans="1:33" s="182" customFormat="1" ht="11.25">
      <c r="A7" s="223" t="s">
        <v>140</v>
      </c>
      <c r="B7" s="222"/>
      <c r="C7" s="222"/>
      <c r="D7" s="222"/>
      <c r="E7" s="222"/>
      <c r="F7" s="222"/>
      <c r="G7" s="222"/>
      <c r="H7" s="222"/>
      <c r="I7" s="222"/>
      <c r="J7" s="222"/>
      <c r="K7" s="222"/>
      <c r="L7" s="226"/>
      <c r="M7" s="223" t="s">
        <v>143</v>
      </c>
      <c r="N7" s="222"/>
      <c r="O7" s="222"/>
      <c r="P7" s="222"/>
      <c r="Q7" s="222"/>
      <c r="R7" s="222"/>
      <c r="S7" s="226"/>
      <c r="T7" s="223"/>
      <c r="U7" s="222"/>
      <c r="V7" s="222"/>
      <c r="W7" s="226"/>
      <c r="X7" s="223" t="s">
        <v>41</v>
      </c>
      <c r="Y7" s="222"/>
      <c r="Z7" s="222"/>
      <c r="AA7" s="226"/>
      <c r="AB7" s="223" t="s">
        <v>42</v>
      </c>
      <c r="AC7" s="39"/>
      <c r="AD7" s="39"/>
      <c r="AE7" s="154"/>
      <c r="AF7" s="241" t="s">
        <v>6</v>
      </c>
      <c r="AG7" s="185"/>
    </row>
    <row r="8" spans="1:33">
      <c r="A8" s="385"/>
      <c r="B8" s="276"/>
      <c r="C8" s="276"/>
      <c r="D8" s="276"/>
      <c r="E8" s="276"/>
      <c r="F8" s="276"/>
      <c r="G8" s="276"/>
      <c r="H8" s="276"/>
      <c r="I8" s="276"/>
      <c r="J8" s="276"/>
      <c r="K8" s="276"/>
      <c r="L8" s="277"/>
      <c r="M8" s="385"/>
      <c r="N8" s="276"/>
      <c r="O8" s="276"/>
      <c r="P8" s="276"/>
      <c r="Q8" s="276"/>
      <c r="R8" s="276"/>
      <c r="S8" s="277"/>
      <c r="T8" s="385"/>
      <c r="U8" s="276"/>
      <c r="V8" s="276"/>
      <c r="W8" s="277"/>
      <c r="X8" s="386"/>
      <c r="Y8" s="276"/>
      <c r="Z8" s="276"/>
      <c r="AA8" s="277"/>
      <c r="AB8" s="387"/>
      <c r="AC8" s="197"/>
      <c r="AD8" s="197"/>
      <c r="AE8" s="198"/>
      <c r="AF8" s="241" t="s">
        <v>7</v>
      </c>
    </row>
    <row r="9" spans="1:33" s="182" customFormat="1" ht="11.25">
      <c r="A9" s="223" t="s">
        <v>44</v>
      </c>
      <c r="B9" s="222"/>
      <c r="C9" s="222"/>
      <c r="D9" s="222"/>
      <c r="E9" s="222"/>
      <c r="F9" s="222"/>
      <c r="G9" s="222"/>
      <c r="H9" s="222"/>
      <c r="I9" s="222"/>
      <c r="J9" s="222"/>
      <c r="K9" s="222"/>
      <c r="L9" s="226"/>
      <c r="M9" s="223" t="s">
        <v>144</v>
      </c>
      <c r="N9" s="222"/>
      <c r="O9" s="222"/>
      <c r="P9" s="222"/>
      <c r="Q9" s="222"/>
      <c r="R9" s="222"/>
      <c r="S9" s="222"/>
      <c r="T9" s="222"/>
      <c r="U9" s="222"/>
      <c r="V9" s="224"/>
      <c r="W9" s="226"/>
      <c r="X9" s="223" t="s">
        <v>43</v>
      </c>
      <c r="Y9" s="222"/>
      <c r="Z9" s="222"/>
      <c r="AA9" s="222"/>
      <c r="AB9" s="222"/>
      <c r="AC9" s="39"/>
      <c r="AD9" s="39"/>
      <c r="AE9" s="154"/>
      <c r="AF9" s="241" t="s">
        <v>8</v>
      </c>
      <c r="AG9" s="185"/>
    </row>
    <row r="10" spans="1:33">
      <c r="A10" s="385"/>
      <c r="B10" s="276"/>
      <c r="C10" s="276"/>
      <c r="D10" s="276"/>
      <c r="E10" s="276"/>
      <c r="F10" s="276"/>
      <c r="G10" s="276"/>
      <c r="H10" s="276"/>
      <c r="I10" s="276"/>
      <c r="J10" s="276"/>
      <c r="K10" s="276"/>
      <c r="L10" s="277"/>
      <c r="M10" s="385"/>
      <c r="N10" s="276"/>
      <c r="O10" s="276"/>
      <c r="P10" s="276"/>
      <c r="Q10" s="276"/>
      <c r="R10" s="276"/>
      <c r="S10" s="276"/>
      <c r="T10" s="276"/>
      <c r="U10" s="276"/>
      <c r="V10" s="276"/>
      <c r="W10" s="277"/>
      <c r="X10" s="385"/>
      <c r="Y10" s="276"/>
      <c r="Z10" s="276"/>
      <c r="AA10" s="276"/>
      <c r="AB10" s="276"/>
      <c r="AC10" s="41"/>
      <c r="AD10" s="41"/>
      <c r="AE10" s="42"/>
      <c r="AF10" s="241" t="s">
        <v>9</v>
      </c>
    </row>
    <row r="11" spans="1:33" s="182" customFormat="1" ht="11.25">
      <c r="A11" s="223" t="s">
        <v>141</v>
      </c>
      <c r="B11" s="222"/>
      <c r="C11" s="222"/>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40"/>
      <c r="AF11" s="241" t="s">
        <v>10</v>
      </c>
      <c r="AG11" s="185"/>
    </row>
    <row r="12" spans="1:33" s="182" customFormat="1" ht="11.25">
      <c r="A12" s="388" t="s">
        <v>142</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44"/>
      <c r="AF12" s="241" t="s">
        <v>11</v>
      </c>
      <c r="AG12" s="185"/>
    </row>
    <row r="13" spans="1:33" s="182" customFormat="1">
      <c r="A13" s="43"/>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22" t="s">
        <v>0</v>
      </c>
      <c r="AB13" s="38"/>
      <c r="AC13" s="38"/>
      <c r="AD13" s="38"/>
      <c r="AE13" s="44"/>
      <c r="AF13" s="241" t="s">
        <v>12</v>
      </c>
      <c r="AG13" s="185"/>
    </row>
    <row r="14" spans="1:33" s="180" customFormat="1">
      <c r="A14" s="45"/>
      <c r="B14" s="46"/>
      <c r="C14" s="46"/>
      <c r="D14" s="46"/>
      <c r="E14" s="46"/>
      <c r="F14" s="46"/>
      <c r="G14" s="46"/>
      <c r="H14" s="46"/>
      <c r="I14" s="46"/>
      <c r="J14" s="46"/>
      <c r="K14" s="46"/>
      <c r="L14" s="46"/>
      <c r="M14" s="46"/>
      <c r="N14" s="46"/>
      <c r="O14" s="46"/>
      <c r="P14" s="46"/>
      <c r="Q14" s="46"/>
      <c r="R14" s="46"/>
      <c r="S14" s="46"/>
      <c r="T14" s="46"/>
      <c r="U14" s="46"/>
      <c r="V14" s="46"/>
      <c r="W14" s="46"/>
      <c r="X14" s="46"/>
      <c r="Y14" s="46"/>
      <c r="Z14" s="10"/>
      <c r="AA14" s="15" t="s">
        <v>1</v>
      </c>
      <c r="AB14" s="46"/>
      <c r="AC14" s="46"/>
      <c r="AD14" s="46"/>
      <c r="AE14" s="47"/>
      <c r="AF14" s="241" t="s">
        <v>13</v>
      </c>
      <c r="AG14" s="228"/>
    </row>
    <row r="15" spans="1:33" ht="16.5" thickBot="1">
      <c r="A15" s="457" t="s">
        <v>45</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241" t="s">
        <v>14</v>
      </c>
    </row>
    <row r="16" spans="1:33">
      <c r="A16" s="73"/>
      <c r="B16" s="74"/>
      <c r="C16" s="74" t="s">
        <v>145</v>
      </c>
      <c r="D16" s="74"/>
      <c r="E16" s="74"/>
      <c r="F16" s="74"/>
      <c r="G16" s="74"/>
      <c r="H16" s="74"/>
      <c r="I16" s="74"/>
      <c r="J16" s="74"/>
      <c r="K16" s="74"/>
      <c r="L16" s="74"/>
      <c r="M16" s="74"/>
      <c r="N16" s="74"/>
      <c r="O16" s="74"/>
      <c r="P16" s="74"/>
      <c r="Q16" s="75"/>
      <c r="R16" s="76" t="s">
        <v>146</v>
      </c>
      <c r="S16" s="77"/>
      <c r="T16" s="77"/>
      <c r="U16" s="78"/>
      <c r="V16" s="79" t="s">
        <v>47</v>
      </c>
      <c r="W16" s="80"/>
      <c r="X16" s="80"/>
      <c r="Y16" s="80"/>
      <c r="Z16" s="80"/>
      <c r="AA16" s="81"/>
      <c r="AB16" s="81"/>
      <c r="AC16" s="81"/>
      <c r="AD16" s="81"/>
      <c r="AE16" s="82"/>
      <c r="AF16" s="241"/>
    </row>
    <row r="17" spans="1:33">
      <c r="A17" s="168" t="str">
        <f>IF($AF$18,"NOT APPLICABLE TO THIS P/N","")</f>
        <v/>
      </c>
      <c r="B17" s="83"/>
      <c r="C17" s="83"/>
      <c r="D17" s="83"/>
      <c r="E17" s="83"/>
      <c r="F17" s="83"/>
      <c r="G17" s="83"/>
      <c r="H17" s="83"/>
      <c r="I17" s="84"/>
      <c r="J17" s="85"/>
      <c r="K17" s="85"/>
      <c r="L17" s="85"/>
      <c r="M17" s="85"/>
      <c r="N17" s="85"/>
      <c r="O17" s="85"/>
      <c r="P17" s="85"/>
      <c r="Q17" s="86"/>
      <c r="R17" s="87" t="s">
        <v>147</v>
      </c>
      <c r="S17" s="83"/>
      <c r="T17" s="83"/>
      <c r="U17" s="88"/>
      <c r="V17" s="89" t="s">
        <v>48</v>
      </c>
      <c r="W17" s="83"/>
      <c r="X17" s="83"/>
      <c r="Y17" s="83"/>
      <c r="Z17" s="83"/>
      <c r="AA17" s="83"/>
      <c r="AB17" s="83"/>
      <c r="AC17" s="83"/>
      <c r="AD17" s="83"/>
      <c r="AE17" s="90"/>
      <c r="AF17" s="241" t="s">
        <v>15</v>
      </c>
    </row>
    <row r="18" spans="1:33">
      <c r="A18" s="69"/>
      <c r="B18" s="83"/>
      <c r="C18" s="83"/>
      <c r="D18" s="83"/>
      <c r="E18" s="83"/>
      <c r="F18" s="83"/>
      <c r="G18" s="83"/>
      <c r="H18" s="83"/>
      <c r="I18" s="69"/>
      <c r="J18" s="83"/>
      <c r="K18" s="83"/>
      <c r="L18" s="83"/>
      <c r="M18" s="83"/>
      <c r="N18" s="83"/>
      <c r="O18" s="83"/>
      <c r="P18" s="83"/>
      <c r="Q18" s="88"/>
      <c r="R18" s="76" t="s">
        <v>148</v>
      </c>
      <c r="S18" s="77"/>
      <c r="T18" s="77"/>
      <c r="U18" s="91"/>
      <c r="V18" s="92"/>
      <c r="W18" s="77"/>
      <c r="X18" s="77"/>
      <c r="Y18" s="77"/>
      <c r="Z18" s="77"/>
      <c r="AA18" s="77"/>
      <c r="AB18" s="77"/>
      <c r="AC18" s="77"/>
      <c r="AD18" s="77"/>
      <c r="AE18" s="93"/>
      <c r="AF18" s="242" t="b">
        <v>0</v>
      </c>
    </row>
    <row r="19" spans="1:33">
      <c r="A19" s="69"/>
      <c r="B19" s="83"/>
      <c r="C19" s="83"/>
      <c r="D19" s="83"/>
      <c r="E19" s="83"/>
      <c r="F19" s="83"/>
      <c r="G19" s="83"/>
      <c r="H19" s="83"/>
      <c r="I19" s="69"/>
      <c r="J19" s="83"/>
      <c r="K19" s="83"/>
      <c r="L19" s="83"/>
      <c r="M19" s="83"/>
      <c r="N19" s="83"/>
      <c r="O19" s="83"/>
      <c r="P19" s="83"/>
      <c r="Q19" s="88"/>
      <c r="R19" s="87" t="s">
        <v>149</v>
      </c>
      <c r="S19" s="83"/>
      <c r="T19" s="83"/>
      <c r="U19" s="88"/>
      <c r="V19" s="94"/>
      <c r="W19" s="83"/>
      <c r="X19" s="83"/>
      <c r="Y19" s="83"/>
      <c r="Z19" s="83"/>
      <c r="AA19" s="83"/>
      <c r="AB19" s="83"/>
      <c r="AC19" s="83"/>
      <c r="AD19" s="83"/>
      <c r="AE19" s="90"/>
      <c r="AF19" s="247" t="s">
        <v>16</v>
      </c>
    </row>
    <row r="20" spans="1:33">
      <c r="A20" s="69"/>
      <c r="B20" s="83"/>
      <c r="C20" s="83"/>
      <c r="D20" s="83"/>
      <c r="E20" s="83"/>
      <c r="F20" s="83"/>
      <c r="G20" s="83"/>
      <c r="H20" s="83"/>
      <c r="I20" s="69"/>
      <c r="J20" s="83"/>
      <c r="K20" s="83"/>
      <c r="L20" s="83"/>
      <c r="M20" s="83"/>
      <c r="N20" s="83"/>
      <c r="O20" s="83"/>
      <c r="P20" s="83"/>
      <c r="Q20" s="88"/>
      <c r="R20" s="76" t="s">
        <v>148</v>
      </c>
      <c r="S20" s="77"/>
      <c r="T20" s="77"/>
      <c r="U20" s="91"/>
      <c r="V20" s="92"/>
      <c r="W20" s="77"/>
      <c r="X20" s="77"/>
      <c r="Y20" s="77"/>
      <c r="Z20" s="77"/>
      <c r="AA20" s="77"/>
      <c r="AB20" s="77"/>
      <c r="AC20" s="77"/>
      <c r="AD20" s="77"/>
      <c r="AE20" s="93"/>
    </row>
    <row r="21" spans="1:33">
      <c r="A21" s="69"/>
      <c r="B21" s="83"/>
      <c r="C21" s="83"/>
      <c r="D21" s="83"/>
      <c r="E21" s="83"/>
      <c r="F21" s="83"/>
      <c r="G21" s="83"/>
      <c r="H21" s="83"/>
      <c r="I21" s="69"/>
      <c r="J21" s="83"/>
      <c r="K21" s="83"/>
      <c r="L21" s="83"/>
      <c r="M21" s="83"/>
      <c r="N21" s="83"/>
      <c r="O21" s="83"/>
      <c r="P21" s="83"/>
      <c r="Q21" s="88"/>
      <c r="R21" s="389" t="s">
        <v>150</v>
      </c>
      <c r="S21" s="83"/>
      <c r="T21" s="83"/>
      <c r="U21" s="88"/>
      <c r="V21" s="94"/>
      <c r="W21" s="83"/>
      <c r="X21" s="83"/>
      <c r="Y21" s="83"/>
      <c r="Z21" s="83"/>
      <c r="AA21" s="83"/>
      <c r="AB21" s="83"/>
      <c r="AC21" s="83"/>
      <c r="AD21" s="83"/>
      <c r="AE21" s="90"/>
    </row>
    <row r="22" spans="1:33">
      <c r="A22" s="69"/>
      <c r="B22" s="83"/>
      <c r="C22" s="83"/>
      <c r="D22" s="83"/>
      <c r="E22" s="83"/>
      <c r="F22" s="83"/>
      <c r="G22" s="83"/>
      <c r="H22" s="83"/>
      <c r="I22" s="69"/>
      <c r="J22" s="83"/>
      <c r="K22" s="83"/>
      <c r="L22" s="83"/>
      <c r="M22" s="83"/>
      <c r="N22" s="83"/>
      <c r="O22" s="83"/>
      <c r="P22" s="83"/>
      <c r="Q22" s="88"/>
      <c r="R22" s="76" t="s">
        <v>46</v>
      </c>
      <c r="S22" s="77"/>
      <c r="T22" s="77"/>
      <c r="U22" s="91"/>
      <c r="V22" s="92"/>
      <c r="W22" s="77"/>
      <c r="X22" s="77"/>
      <c r="Y22" s="77"/>
      <c r="Z22" s="77"/>
      <c r="AA22" s="77"/>
      <c r="AB22" s="77"/>
      <c r="AC22" s="77"/>
      <c r="AD22" s="77"/>
      <c r="AE22" s="93"/>
    </row>
    <row r="23" spans="1:33" ht="13.5" thickBot="1">
      <c r="A23" s="69"/>
      <c r="B23" s="83"/>
      <c r="C23" s="83"/>
      <c r="D23" s="83"/>
      <c r="E23" s="83"/>
      <c r="F23" s="83"/>
      <c r="G23" s="83"/>
      <c r="H23" s="83"/>
      <c r="I23" s="69"/>
      <c r="J23" s="83"/>
      <c r="K23" s="83"/>
      <c r="L23" s="83"/>
      <c r="M23" s="83"/>
      <c r="N23" s="83"/>
      <c r="O23" s="83"/>
      <c r="P23" s="83"/>
      <c r="Q23" s="88"/>
      <c r="R23" s="87" t="s">
        <v>151</v>
      </c>
      <c r="S23" s="83"/>
      <c r="T23" s="83"/>
      <c r="U23" s="88"/>
      <c r="V23" s="95"/>
      <c r="W23" s="96"/>
      <c r="X23" s="96"/>
      <c r="Y23" s="96"/>
      <c r="Z23" s="96"/>
      <c r="AA23" s="96"/>
      <c r="AB23" s="96"/>
      <c r="AC23" s="96"/>
      <c r="AD23" s="96"/>
      <c r="AE23" s="97"/>
    </row>
    <row r="24" spans="1:33" ht="16.5" thickBot="1">
      <c r="A24" s="457" t="s">
        <v>49</v>
      </c>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row>
    <row r="25" spans="1:33" s="181" customFormat="1" ht="11.25">
      <c r="A25" s="149" t="s">
        <v>152</v>
      </c>
      <c r="B25" s="150"/>
      <c r="C25" s="149" t="s">
        <v>153</v>
      </c>
      <c r="D25" s="153"/>
      <c r="E25" s="153"/>
      <c r="F25" s="153"/>
      <c r="G25" s="150"/>
      <c r="H25" s="260" t="s">
        <v>51</v>
      </c>
      <c r="I25" s="261"/>
      <c r="J25" s="112" t="s">
        <v>42</v>
      </c>
      <c r="K25" s="114"/>
      <c r="L25" s="112" t="s">
        <v>52</v>
      </c>
      <c r="M25" s="114"/>
      <c r="N25" s="112" t="s">
        <v>54</v>
      </c>
      <c r="O25" s="114"/>
      <c r="P25" s="146" t="s">
        <v>156</v>
      </c>
      <c r="Q25" s="162"/>
      <c r="R25" s="162"/>
      <c r="S25" s="163"/>
      <c r="T25" s="164" t="s">
        <v>159</v>
      </c>
      <c r="U25" s="163"/>
      <c r="V25" s="164" t="s">
        <v>160</v>
      </c>
      <c r="W25" s="163"/>
      <c r="X25" s="164" t="s">
        <v>66</v>
      </c>
      <c r="Y25" s="163"/>
      <c r="Z25" s="164" t="s">
        <v>65</v>
      </c>
      <c r="AA25" s="147"/>
      <c r="AB25" s="149" t="s">
        <v>152</v>
      </c>
      <c r="AC25" s="150"/>
      <c r="AD25" s="146" t="s">
        <v>68</v>
      </c>
      <c r="AE25" s="147"/>
      <c r="AF25" s="206"/>
      <c r="AG25" s="206"/>
    </row>
    <row r="26" spans="1:33" s="181" customFormat="1" ht="11.25">
      <c r="A26" s="157"/>
      <c r="B26" s="158"/>
      <c r="C26" s="157"/>
      <c r="D26" s="124"/>
      <c r="E26" s="124"/>
      <c r="F26" s="124"/>
      <c r="G26" s="158"/>
      <c r="H26" s="262" t="s">
        <v>154</v>
      </c>
      <c r="I26" s="263"/>
      <c r="J26" s="262" t="s">
        <v>155</v>
      </c>
      <c r="K26" s="263"/>
      <c r="L26" s="262" t="s">
        <v>53</v>
      </c>
      <c r="M26" s="263"/>
      <c r="N26" s="262" t="s">
        <v>53</v>
      </c>
      <c r="O26" s="263"/>
      <c r="P26" s="165"/>
      <c r="Q26" s="122"/>
      <c r="R26" s="122"/>
      <c r="S26" s="129"/>
      <c r="T26" s="130"/>
      <c r="U26" s="126"/>
      <c r="V26" s="130" t="s">
        <v>50</v>
      </c>
      <c r="W26" s="126"/>
      <c r="X26" s="130"/>
      <c r="Y26" s="126"/>
      <c r="Z26" s="151" t="s">
        <v>66</v>
      </c>
      <c r="AA26" s="148"/>
      <c r="AB26" s="157" t="s">
        <v>157</v>
      </c>
      <c r="AC26" s="158"/>
      <c r="AD26" s="160" t="s">
        <v>158</v>
      </c>
      <c r="AE26" s="161"/>
      <c r="AF26" s="206"/>
      <c r="AG26" s="206"/>
    </row>
    <row r="27" spans="1:33" s="181" customFormat="1" ht="11.25">
      <c r="A27" s="151" t="s">
        <v>50</v>
      </c>
      <c r="B27" s="127"/>
      <c r="C27" s="152" t="s">
        <v>17</v>
      </c>
      <c r="D27" s="152" t="s">
        <v>18</v>
      </c>
      <c r="E27" s="152" t="s">
        <v>19</v>
      </c>
      <c r="F27" s="152" t="s">
        <v>20</v>
      </c>
      <c r="G27" s="152" t="s">
        <v>21</v>
      </c>
      <c r="H27" s="151"/>
      <c r="I27" s="127"/>
      <c r="J27" s="151"/>
      <c r="K27" s="127"/>
      <c r="L27" s="151"/>
      <c r="M27" s="127"/>
      <c r="N27" s="100"/>
      <c r="O27" s="101"/>
      <c r="P27" s="103" t="s">
        <v>55</v>
      </c>
      <c r="Q27" s="102" t="s">
        <v>56</v>
      </c>
      <c r="R27" s="102" t="s">
        <v>57</v>
      </c>
      <c r="S27" s="102" t="s">
        <v>58</v>
      </c>
      <c r="T27" s="102" t="s">
        <v>59</v>
      </c>
      <c r="U27" s="102" t="s">
        <v>60</v>
      </c>
      <c r="V27" s="102" t="s">
        <v>61</v>
      </c>
      <c r="W27" s="102" t="s">
        <v>62</v>
      </c>
      <c r="X27" s="102" t="s">
        <v>63</v>
      </c>
      <c r="Y27" s="102" t="s">
        <v>64</v>
      </c>
      <c r="Z27" s="102" t="s">
        <v>63</v>
      </c>
      <c r="AA27" s="104" t="s">
        <v>67</v>
      </c>
      <c r="AB27" s="151" t="s">
        <v>50</v>
      </c>
      <c r="AC27" s="127"/>
      <c r="AD27" s="166"/>
      <c r="AE27" s="159"/>
      <c r="AF27" s="206"/>
      <c r="AG27" s="206"/>
    </row>
    <row r="28" spans="1:33">
      <c r="A28" s="168" t="str">
        <f>IF($AF$18,"NOT APPLICABLE TO THIS P/N","")</f>
        <v/>
      </c>
      <c r="B28" s="88"/>
      <c r="C28" s="69"/>
      <c r="D28" s="105"/>
      <c r="E28" s="70"/>
      <c r="F28" s="105"/>
      <c r="G28" s="106"/>
      <c r="H28" s="70"/>
      <c r="I28" s="83"/>
      <c r="J28" s="69"/>
      <c r="K28" s="88"/>
      <c r="L28" s="69"/>
      <c r="M28" s="88"/>
      <c r="N28" s="69"/>
      <c r="O28" s="88"/>
      <c r="P28" s="94"/>
      <c r="Q28" s="105"/>
      <c r="R28" s="70"/>
      <c r="S28" s="105"/>
      <c r="T28" s="70"/>
      <c r="U28" s="105"/>
      <c r="V28" s="70"/>
      <c r="W28" s="105"/>
      <c r="X28" s="70"/>
      <c r="Y28" s="105"/>
      <c r="Z28" s="70"/>
      <c r="AA28" s="107"/>
      <c r="AB28" s="70"/>
      <c r="AC28" s="83"/>
      <c r="AD28" s="94"/>
      <c r="AE28" s="90"/>
    </row>
    <row r="29" spans="1:33">
      <c r="A29" s="69"/>
      <c r="B29" s="88"/>
      <c r="C29" s="69"/>
      <c r="D29" s="105"/>
      <c r="E29" s="70"/>
      <c r="F29" s="105"/>
      <c r="G29" s="106"/>
      <c r="H29" s="70"/>
      <c r="I29" s="83"/>
      <c r="J29" s="69"/>
      <c r="K29" s="88"/>
      <c r="L29" s="69"/>
      <c r="M29" s="88"/>
      <c r="N29" s="69"/>
      <c r="O29" s="88"/>
      <c r="P29" s="94"/>
      <c r="Q29" s="105"/>
      <c r="R29" s="70"/>
      <c r="S29" s="105"/>
      <c r="T29" s="70"/>
      <c r="U29" s="105"/>
      <c r="V29" s="70"/>
      <c r="W29" s="105"/>
      <c r="X29" s="70"/>
      <c r="Y29" s="105"/>
      <c r="Z29" s="70"/>
      <c r="AA29" s="108"/>
      <c r="AB29" s="70"/>
      <c r="AC29" s="83"/>
      <c r="AD29" s="94"/>
      <c r="AE29" s="90"/>
    </row>
    <row r="30" spans="1:33">
      <c r="A30" s="69"/>
      <c r="B30" s="88"/>
      <c r="C30" s="69"/>
      <c r="D30" s="105"/>
      <c r="E30" s="70"/>
      <c r="F30" s="105"/>
      <c r="G30" s="106"/>
      <c r="H30" s="70"/>
      <c r="I30" s="83"/>
      <c r="J30" s="69"/>
      <c r="K30" s="88"/>
      <c r="L30" s="69"/>
      <c r="M30" s="88"/>
      <c r="N30" s="69"/>
      <c r="O30" s="88"/>
      <c r="P30" s="94"/>
      <c r="Q30" s="105"/>
      <c r="R30" s="70"/>
      <c r="S30" s="105"/>
      <c r="T30" s="70"/>
      <c r="U30" s="105"/>
      <c r="V30" s="70"/>
      <c r="W30" s="105"/>
      <c r="X30" s="70"/>
      <c r="Y30" s="105"/>
      <c r="Z30" s="70"/>
      <c r="AA30" s="108"/>
      <c r="AB30" s="70"/>
      <c r="AC30" s="83"/>
      <c r="AD30" s="94"/>
      <c r="AE30" s="90"/>
    </row>
    <row r="31" spans="1:33">
      <c r="A31" s="69"/>
      <c r="B31" s="88"/>
      <c r="C31" s="69"/>
      <c r="D31" s="105"/>
      <c r="E31" s="70"/>
      <c r="F31" s="105"/>
      <c r="G31" s="106"/>
      <c r="H31" s="70"/>
      <c r="I31" s="83"/>
      <c r="J31" s="69"/>
      <c r="K31" s="88"/>
      <c r="L31" s="69"/>
      <c r="M31" s="88"/>
      <c r="N31" s="69"/>
      <c r="O31" s="88"/>
      <c r="P31" s="94"/>
      <c r="Q31" s="105"/>
      <c r="R31" s="70"/>
      <c r="S31" s="105"/>
      <c r="T31" s="70"/>
      <c r="U31" s="105"/>
      <c r="V31" s="70"/>
      <c r="W31" s="105"/>
      <c r="X31" s="70"/>
      <c r="Y31" s="105"/>
      <c r="Z31" s="70"/>
      <c r="AA31" s="108"/>
      <c r="AB31" s="70"/>
      <c r="AC31" s="83"/>
      <c r="AD31" s="94"/>
      <c r="AE31" s="90"/>
    </row>
    <row r="32" spans="1:33">
      <c r="A32" s="69"/>
      <c r="B32" s="88"/>
      <c r="C32" s="69"/>
      <c r="D32" s="105"/>
      <c r="E32" s="70"/>
      <c r="F32" s="105"/>
      <c r="G32" s="106"/>
      <c r="H32" s="70"/>
      <c r="I32" s="83"/>
      <c r="J32" s="69"/>
      <c r="K32" s="88"/>
      <c r="L32" s="69"/>
      <c r="M32" s="88"/>
      <c r="N32" s="69"/>
      <c r="O32" s="88"/>
      <c r="P32" s="94"/>
      <c r="Q32" s="105"/>
      <c r="R32" s="70"/>
      <c r="S32" s="105"/>
      <c r="T32" s="70"/>
      <c r="U32" s="105"/>
      <c r="V32" s="70"/>
      <c r="W32" s="105"/>
      <c r="X32" s="70"/>
      <c r="Y32" s="105"/>
      <c r="Z32" s="70"/>
      <c r="AA32" s="108"/>
      <c r="AB32" s="70"/>
      <c r="AC32" s="83"/>
      <c r="AD32" s="94"/>
      <c r="AE32" s="90"/>
    </row>
    <row r="33" spans="1:33">
      <c r="A33" s="69"/>
      <c r="B33" s="88"/>
      <c r="C33" s="69"/>
      <c r="D33" s="105"/>
      <c r="E33" s="70"/>
      <c r="F33" s="105"/>
      <c r="G33" s="106"/>
      <c r="H33" s="70"/>
      <c r="I33" s="83"/>
      <c r="J33" s="69"/>
      <c r="K33" s="88"/>
      <c r="L33" s="69"/>
      <c r="M33" s="88"/>
      <c r="N33" s="69"/>
      <c r="O33" s="88"/>
      <c r="P33" s="94"/>
      <c r="Q33" s="105"/>
      <c r="R33" s="70"/>
      <c r="S33" s="105"/>
      <c r="T33" s="70"/>
      <c r="U33" s="105"/>
      <c r="V33" s="70"/>
      <c r="W33" s="105"/>
      <c r="X33" s="70"/>
      <c r="Y33" s="105"/>
      <c r="Z33" s="70"/>
      <c r="AA33" s="108"/>
      <c r="AB33" s="70"/>
      <c r="AC33" s="83"/>
      <c r="AD33" s="94"/>
      <c r="AE33" s="90"/>
    </row>
    <row r="34" spans="1:33">
      <c r="A34" s="69"/>
      <c r="B34" s="88"/>
      <c r="C34" s="69"/>
      <c r="D34" s="105"/>
      <c r="E34" s="70"/>
      <c r="F34" s="105"/>
      <c r="G34" s="106"/>
      <c r="H34" s="70"/>
      <c r="I34" s="83"/>
      <c r="J34" s="69"/>
      <c r="K34" s="88"/>
      <c r="L34" s="69"/>
      <c r="M34" s="88"/>
      <c r="N34" s="69"/>
      <c r="O34" s="88"/>
      <c r="P34" s="94"/>
      <c r="Q34" s="105"/>
      <c r="R34" s="70"/>
      <c r="S34" s="105"/>
      <c r="T34" s="70"/>
      <c r="U34" s="105"/>
      <c r="V34" s="70"/>
      <c r="W34" s="105"/>
      <c r="X34" s="70"/>
      <c r="Y34" s="105"/>
      <c r="Z34" s="70"/>
      <c r="AA34" s="108"/>
      <c r="AB34" s="70"/>
      <c r="AC34" s="83"/>
      <c r="AD34" s="94"/>
      <c r="AE34" s="90"/>
    </row>
    <row r="35" spans="1:33">
      <c r="A35" s="69"/>
      <c r="B35" s="88"/>
      <c r="C35" s="69"/>
      <c r="D35" s="105"/>
      <c r="E35" s="70"/>
      <c r="F35" s="105"/>
      <c r="G35" s="106"/>
      <c r="H35" s="70"/>
      <c r="I35" s="83"/>
      <c r="J35" s="69"/>
      <c r="K35" s="88"/>
      <c r="L35" s="69"/>
      <c r="M35" s="88"/>
      <c r="N35" s="69"/>
      <c r="O35" s="88"/>
      <c r="P35" s="94"/>
      <c r="Q35" s="105"/>
      <c r="R35" s="70"/>
      <c r="S35" s="105"/>
      <c r="T35" s="70"/>
      <c r="U35" s="105"/>
      <c r="V35" s="70"/>
      <c r="W35" s="105"/>
      <c r="X35" s="70"/>
      <c r="Y35" s="105"/>
      <c r="Z35" s="70"/>
      <c r="AA35" s="108"/>
      <c r="AB35" s="70"/>
      <c r="AC35" s="83"/>
      <c r="AD35" s="94"/>
      <c r="AE35" s="90"/>
    </row>
    <row r="36" spans="1:33">
      <c r="A36" s="69"/>
      <c r="B36" s="88"/>
      <c r="C36" s="69"/>
      <c r="D36" s="105"/>
      <c r="E36" s="70"/>
      <c r="F36" s="105"/>
      <c r="G36" s="106"/>
      <c r="H36" s="70"/>
      <c r="I36" s="83"/>
      <c r="J36" s="69"/>
      <c r="K36" s="88"/>
      <c r="L36" s="69"/>
      <c r="M36" s="88"/>
      <c r="N36" s="69"/>
      <c r="O36" s="88"/>
      <c r="P36" s="94"/>
      <c r="Q36" s="105"/>
      <c r="R36" s="70"/>
      <c r="S36" s="105"/>
      <c r="T36" s="70"/>
      <c r="U36" s="105"/>
      <c r="V36" s="70"/>
      <c r="W36" s="105"/>
      <c r="X36" s="70"/>
      <c r="Y36" s="105"/>
      <c r="Z36" s="70"/>
      <c r="AA36" s="108"/>
      <c r="AB36" s="70"/>
      <c r="AC36" s="83"/>
      <c r="AD36" s="94"/>
      <c r="AE36" s="90"/>
    </row>
    <row r="37" spans="1:33" ht="13.5" thickBot="1">
      <c r="A37" s="69"/>
      <c r="B37" s="88"/>
      <c r="C37" s="69"/>
      <c r="D37" s="105"/>
      <c r="E37" s="70"/>
      <c r="F37" s="105"/>
      <c r="G37" s="106"/>
      <c r="H37" s="70"/>
      <c r="I37" s="83"/>
      <c r="J37" s="69"/>
      <c r="K37" s="88"/>
      <c r="L37" s="69"/>
      <c r="M37" s="88"/>
      <c r="N37" s="69"/>
      <c r="O37" s="88"/>
      <c r="P37" s="95"/>
      <c r="Q37" s="109"/>
      <c r="R37" s="110"/>
      <c r="S37" s="109"/>
      <c r="T37" s="110"/>
      <c r="U37" s="109"/>
      <c r="V37" s="110"/>
      <c r="W37" s="109"/>
      <c r="X37" s="110"/>
      <c r="Y37" s="109"/>
      <c r="Z37" s="110"/>
      <c r="AA37" s="111"/>
      <c r="AB37" s="70"/>
      <c r="AC37" s="83"/>
      <c r="AD37" s="95"/>
      <c r="AE37" s="97"/>
    </row>
    <row r="38" spans="1:33">
      <c r="A38" s="87" t="s">
        <v>69</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8"/>
    </row>
    <row r="39" spans="1:33">
      <c r="A39" s="168"/>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8"/>
    </row>
    <row r="40" spans="1:33">
      <c r="A40" s="69"/>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8"/>
    </row>
    <row r="41" spans="1:33">
      <c r="A41" s="69"/>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8"/>
    </row>
    <row r="42" spans="1:33">
      <c r="A42" s="69"/>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8"/>
    </row>
    <row r="43" spans="1:33">
      <c r="A43" s="267"/>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83"/>
      <c r="AD43" s="83"/>
      <c r="AE43" s="88"/>
    </row>
    <row r="44" spans="1:33">
      <c r="A44" s="267"/>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83"/>
      <c r="AD44" s="83"/>
      <c r="AE44" s="88"/>
    </row>
    <row r="45" spans="1:33" s="182" customFormat="1" ht="11.25">
      <c r="A45" s="98" t="s">
        <v>70</v>
      </c>
      <c r="B45" s="458"/>
      <c r="C45" s="458"/>
      <c r="D45" s="459"/>
      <c r="E45" s="459"/>
      <c r="F45" s="459"/>
      <c r="G45" s="459"/>
      <c r="H45" s="459"/>
      <c r="I45" s="459"/>
      <c r="J45" s="459"/>
      <c r="K45" s="459"/>
      <c r="L45" s="459"/>
      <c r="M45" s="459"/>
      <c r="N45" s="458"/>
      <c r="O45" s="458"/>
      <c r="P45" s="99"/>
      <c r="Q45" s="98" t="s">
        <v>161</v>
      </c>
      <c r="R45" s="458"/>
      <c r="S45" s="458"/>
      <c r="T45" s="458"/>
      <c r="U45" s="458"/>
      <c r="V45" s="458"/>
      <c r="W45" s="458"/>
      <c r="X45" s="458"/>
      <c r="Y45" s="99"/>
      <c r="Z45" s="98" t="s">
        <v>42</v>
      </c>
      <c r="AA45" s="458"/>
      <c r="AB45" s="458"/>
      <c r="AC45" s="113"/>
      <c r="AD45" s="113"/>
      <c r="AE45" s="114"/>
      <c r="AF45" s="185"/>
      <c r="AG45" s="185"/>
    </row>
    <row r="46" spans="1:33" ht="13.5" thickBot="1">
      <c r="A46" s="460"/>
      <c r="B46" s="296"/>
      <c r="C46" s="296"/>
      <c r="D46" s="461"/>
      <c r="E46" s="461"/>
      <c r="F46" s="461"/>
      <c r="G46" s="461"/>
      <c r="H46" s="461"/>
      <c r="I46" s="461"/>
      <c r="J46" s="461"/>
      <c r="K46" s="461"/>
      <c r="L46" s="461"/>
      <c r="M46" s="461"/>
      <c r="N46" s="296"/>
      <c r="O46" s="296"/>
      <c r="P46" s="462"/>
      <c r="Q46" s="460"/>
      <c r="R46" s="296"/>
      <c r="S46" s="296"/>
      <c r="T46" s="296"/>
      <c r="U46" s="296"/>
      <c r="V46" s="296"/>
      <c r="W46" s="296"/>
      <c r="X46" s="296"/>
      <c r="Y46" s="462"/>
      <c r="Z46" s="463"/>
      <c r="AA46" s="124"/>
      <c r="AB46" s="124"/>
      <c r="AC46" s="115"/>
      <c r="AD46" s="115"/>
      <c r="AE46" s="116"/>
    </row>
    <row r="47" spans="1:33" s="182" customFormat="1" ht="11.25">
      <c r="A47" s="464" t="s">
        <v>233</v>
      </c>
      <c r="B47" s="465"/>
      <c r="C47" s="465"/>
      <c r="D47" s="465"/>
      <c r="E47" s="465"/>
      <c r="F47" s="465"/>
      <c r="G47" s="465"/>
      <c r="H47" s="465"/>
      <c r="I47" s="465"/>
      <c r="J47" s="465"/>
      <c r="K47" s="465"/>
      <c r="L47" s="465"/>
      <c r="M47" s="465"/>
      <c r="N47" s="465"/>
      <c r="O47" s="465"/>
      <c r="P47" s="466"/>
      <c r="Q47" s="464" t="s">
        <v>161</v>
      </c>
      <c r="R47" s="465"/>
      <c r="S47" s="465"/>
      <c r="T47" s="465"/>
      <c r="U47" s="465"/>
      <c r="V47" s="465"/>
      <c r="W47" s="465"/>
      <c r="X47" s="465"/>
      <c r="Y47" s="466"/>
      <c r="Z47" s="464" t="s">
        <v>42</v>
      </c>
      <c r="AA47" s="465"/>
      <c r="AB47" s="465"/>
      <c r="AC47" s="117"/>
      <c r="AD47" s="117"/>
      <c r="AE47" s="118"/>
      <c r="AF47" s="185"/>
      <c r="AG47" s="185"/>
    </row>
    <row r="48" spans="1:33">
      <c r="A48" s="467"/>
      <c r="B48" s="461"/>
      <c r="C48" s="461"/>
      <c r="D48" s="461"/>
      <c r="E48" s="461"/>
      <c r="F48" s="461"/>
      <c r="G48" s="461"/>
      <c r="H48" s="461"/>
      <c r="I48" s="461"/>
      <c r="J48" s="461"/>
      <c r="K48" s="461"/>
      <c r="L48" s="296"/>
      <c r="M48" s="296"/>
      <c r="N48" s="296"/>
      <c r="O48" s="296"/>
      <c r="P48" s="468"/>
      <c r="Q48" s="467"/>
      <c r="R48" s="296"/>
      <c r="S48" s="296"/>
      <c r="T48" s="296"/>
      <c r="U48" s="296"/>
      <c r="V48" s="296"/>
      <c r="W48" s="296"/>
      <c r="X48" s="296"/>
      <c r="Y48" s="468"/>
      <c r="Z48" s="467"/>
      <c r="AA48" s="296"/>
      <c r="AB48" s="296"/>
      <c r="AC48" s="115"/>
      <c r="AD48" s="115"/>
      <c r="AE48" s="119"/>
    </row>
    <row r="49" spans="1:31" ht="13.5" thickBot="1">
      <c r="A49" s="469"/>
      <c r="B49" s="470"/>
      <c r="C49" s="470"/>
      <c r="D49" s="470"/>
      <c r="E49" s="470"/>
      <c r="F49" s="470"/>
      <c r="G49" s="470"/>
      <c r="H49" s="470"/>
      <c r="I49" s="470"/>
      <c r="J49" s="470"/>
      <c r="K49" s="470"/>
      <c r="L49" s="471"/>
      <c r="M49" s="471"/>
      <c r="N49" s="471"/>
      <c r="O49" s="471"/>
      <c r="P49" s="472"/>
      <c r="Q49" s="473"/>
      <c r="R49" s="471"/>
      <c r="S49" s="471"/>
      <c r="T49" s="471"/>
      <c r="U49" s="471"/>
      <c r="V49" s="471"/>
      <c r="W49" s="471"/>
      <c r="X49" s="471"/>
      <c r="Y49" s="472"/>
      <c r="Z49" s="473"/>
      <c r="AA49" s="471"/>
      <c r="AB49" s="471"/>
      <c r="AC49" s="96"/>
      <c r="AD49" s="96"/>
      <c r="AE49" s="97"/>
    </row>
    <row r="50" spans="1:31" ht="13.5" thickBo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96"/>
      <c r="Y50" s="96"/>
      <c r="Z50" s="115"/>
      <c r="AA50" s="115"/>
      <c r="AB50" s="115"/>
      <c r="AC50" s="115"/>
      <c r="AD50" s="115"/>
      <c r="AE50" s="115"/>
    </row>
    <row r="51" spans="1:31" ht="13.5" thickBo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20"/>
      <c r="Y51" s="121"/>
      <c r="Z51" s="115" t="s">
        <v>71</v>
      </c>
      <c r="AA51" s="115"/>
      <c r="AB51" s="115"/>
      <c r="AC51" s="115"/>
      <c r="AD51" s="115"/>
      <c r="AE51" s="115"/>
    </row>
  </sheetData>
  <phoneticPr fontId="16" type="noConversion"/>
  <pageMargins left="0.74803149606299213" right="0.51181102362204722" top="0.23622047244094491" bottom="0.23622047244094491" header="0.31496062992125984" footer="0.23622047244094491"/>
  <pageSetup scale="86" orientation="landscape" r:id="rId1"/>
  <headerFooter alignWithMargins="0"/>
  <customProperties>
    <customPr name="Ibp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25601" r:id="rId5" name="Check Box 1">
              <controlPr defaultSize="0" autoFill="0" autoLine="0" autoPict="0">
                <anchor moveWithCells="1">
                  <from>
                    <xdr:col>4</xdr:col>
                    <xdr:colOff>0</xdr:colOff>
                    <xdr:row>10</xdr:row>
                    <xdr:rowOff>47625</xdr:rowOff>
                  </from>
                  <to>
                    <xdr:col>10</xdr:col>
                    <xdr:colOff>228600</xdr:colOff>
                    <xdr:row>11</xdr:row>
                    <xdr:rowOff>123825</xdr:rowOff>
                  </to>
                </anchor>
              </controlPr>
            </control>
          </mc:Choice>
        </mc:AlternateContent>
        <mc:AlternateContent xmlns:mc="http://schemas.openxmlformats.org/markup-compatibility/2006">
          <mc:Choice Requires="x14">
            <control shapeId="25602" r:id="rId6" name="Check Box 2">
              <controlPr defaultSize="0" autoFill="0" autoLine="0" autoPict="0">
                <anchor moveWithCells="1">
                  <from>
                    <xdr:col>4</xdr:col>
                    <xdr:colOff>0</xdr:colOff>
                    <xdr:row>12</xdr:row>
                    <xdr:rowOff>47625</xdr:rowOff>
                  </from>
                  <to>
                    <xdr:col>7</xdr:col>
                    <xdr:colOff>57150</xdr:colOff>
                    <xdr:row>13</xdr:row>
                    <xdr:rowOff>95250</xdr:rowOff>
                  </to>
                </anchor>
              </controlPr>
            </control>
          </mc:Choice>
        </mc:AlternateContent>
        <mc:AlternateContent xmlns:mc="http://schemas.openxmlformats.org/markup-compatibility/2006">
          <mc:Choice Requires="x14">
            <control shapeId="25603" r:id="rId7" name="Check Box 3">
              <controlPr defaultSize="0" autoFill="0" autoLine="0" autoPict="0">
                <anchor moveWithCells="1">
                  <from>
                    <xdr:col>11</xdr:col>
                    <xdr:colOff>0</xdr:colOff>
                    <xdr:row>10</xdr:row>
                    <xdr:rowOff>38100</xdr:rowOff>
                  </from>
                  <to>
                    <xdr:col>16</xdr:col>
                    <xdr:colOff>114300</xdr:colOff>
                    <xdr:row>11</xdr:row>
                    <xdr:rowOff>114300</xdr:rowOff>
                  </to>
                </anchor>
              </controlPr>
            </control>
          </mc:Choice>
        </mc:AlternateContent>
        <mc:AlternateContent xmlns:mc="http://schemas.openxmlformats.org/markup-compatibility/2006">
          <mc:Choice Requires="x14">
            <control shapeId="25604" r:id="rId8" name="Check Box 4">
              <controlPr defaultSize="0" autoFill="0" autoLine="0" autoPict="0">
                <anchor moveWithCells="1">
                  <from>
                    <xdr:col>11</xdr:col>
                    <xdr:colOff>0</xdr:colOff>
                    <xdr:row>12</xdr:row>
                    <xdr:rowOff>38100</xdr:rowOff>
                  </from>
                  <to>
                    <xdr:col>19</xdr:col>
                    <xdr:colOff>38100</xdr:colOff>
                    <xdr:row>13</xdr:row>
                    <xdr:rowOff>95250</xdr:rowOff>
                  </to>
                </anchor>
              </controlPr>
            </control>
          </mc:Choice>
        </mc:AlternateContent>
        <mc:AlternateContent xmlns:mc="http://schemas.openxmlformats.org/markup-compatibility/2006">
          <mc:Choice Requires="x14">
            <control shapeId="25605" r:id="rId9" name="Check Box 5">
              <controlPr defaultSize="0" autoFill="0" autoLine="0" autoPict="0">
                <anchor moveWithCells="1">
                  <from>
                    <xdr:col>19</xdr:col>
                    <xdr:colOff>95250</xdr:colOff>
                    <xdr:row>10</xdr:row>
                    <xdr:rowOff>38100</xdr:rowOff>
                  </from>
                  <to>
                    <xdr:col>24</xdr:col>
                    <xdr:colOff>171450</xdr:colOff>
                    <xdr:row>11</xdr:row>
                    <xdr:rowOff>114300</xdr:rowOff>
                  </to>
                </anchor>
              </controlPr>
            </control>
          </mc:Choice>
        </mc:AlternateContent>
        <mc:AlternateContent xmlns:mc="http://schemas.openxmlformats.org/markup-compatibility/2006">
          <mc:Choice Requires="x14">
            <control shapeId="25606" r:id="rId10" name="Check Box 6">
              <controlPr defaultSize="0" autoFill="0" autoLine="0" autoPict="0">
                <anchor moveWithCells="1">
                  <from>
                    <xdr:col>19</xdr:col>
                    <xdr:colOff>95250</xdr:colOff>
                    <xdr:row>12</xdr:row>
                    <xdr:rowOff>38100</xdr:rowOff>
                  </from>
                  <to>
                    <xdr:col>23</xdr:col>
                    <xdr:colOff>190500</xdr:colOff>
                    <xdr:row>13</xdr:row>
                    <xdr:rowOff>95250</xdr:rowOff>
                  </to>
                </anchor>
              </controlPr>
            </control>
          </mc:Choice>
        </mc:AlternateContent>
        <mc:AlternateContent xmlns:mc="http://schemas.openxmlformats.org/markup-compatibility/2006">
          <mc:Choice Requires="x14">
            <control shapeId="25607" r:id="rId11" name="Check Box 7">
              <controlPr defaultSize="0" autoFill="0" autoLine="0" autoPict="0">
                <anchor moveWithCells="1">
                  <from>
                    <xdr:col>26</xdr:col>
                    <xdr:colOff>19050</xdr:colOff>
                    <xdr:row>10</xdr:row>
                    <xdr:rowOff>38100</xdr:rowOff>
                  </from>
                  <to>
                    <xdr:col>27</xdr:col>
                    <xdr:colOff>352425</xdr:colOff>
                    <xdr:row>11</xdr:row>
                    <xdr:rowOff>114300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54"/>
  <sheetViews>
    <sheetView showGridLines="0" view="pageBreakPreview" zoomScaleNormal="100" zoomScaleSheetLayoutView="100" workbookViewId="0">
      <selection activeCell="C39" sqref="C39:G39"/>
    </sheetView>
  </sheetViews>
  <sheetFormatPr defaultRowHeight="12.75"/>
  <cols>
    <col min="1" max="1" width="8.7109375" style="816" customWidth="1"/>
    <col min="2" max="3" width="8.28515625" style="816" customWidth="1"/>
    <col min="4" max="4" width="22.5703125" style="816" customWidth="1"/>
    <col min="5" max="5" width="7.140625" style="816" customWidth="1"/>
    <col min="6" max="6" width="10.42578125" style="816" customWidth="1"/>
    <col min="7" max="9" width="8.28515625" style="816" customWidth="1"/>
    <col min="10" max="10" width="7.5703125" style="816" customWidth="1"/>
    <col min="11" max="11" width="11" style="816" customWidth="1"/>
    <col min="12" max="14" width="8.28515625" style="816" customWidth="1"/>
    <col min="15" max="15" width="7.5703125" style="816" customWidth="1"/>
    <col min="16" max="16" width="9.85546875" style="816" customWidth="1"/>
    <col min="17" max="17" width="9.140625" style="816" customWidth="1"/>
    <col min="18" max="18" width="10.42578125" style="816" customWidth="1"/>
    <col min="19" max="19" width="7.85546875" style="816" customWidth="1"/>
    <col min="20" max="16384" width="9.140625" style="816"/>
  </cols>
  <sheetData>
    <row r="1" spans="1:23" ht="39" customHeight="1" thickBot="1">
      <c r="A1" s="1062"/>
      <c r="B1" s="1063"/>
      <c r="C1" s="1064" t="s">
        <v>639</v>
      </c>
      <c r="D1" s="1065"/>
      <c r="E1" s="1065"/>
      <c r="F1" s="1065"/>
      <c r="G1" s="1065"/>
      <c r="H1" s="1065"/>
      <c r="I1" s="1065"/>
      <c r="J1" s="1065"/>
      <c r="K1" s="1065"/>
      <c r="L1" s="1066"/>
      <c r="M1" s="1011" t="s">
        <v>638</v>
      </c>
      <c r="N1" s="1067" t="s">
        <v>637</v>
      </c>
      <c r="O1" s="1068"/>
      <c r="P1" s="1069"/>
      <c r="Q1" s="1070"/>
    </row>
    <row r="2" spans="1:23" ht="12.75" customHeight="1">
      <c r="A2" s="1071" t="s">
        <v>636</v>
      </c>
      <c r="B2" s="1072"/>
      <c r="C2" s="1073" t="s">
        <v>635</v>
      </c>
      <c r="D2" s="1074"/>
      <c r="E2" s="1010" t="s">
        <v>634</v>
      </c>
      <c r="F2" s="1010"/>
      <c r="G2" s="1009"/>
      <c r="H2" s="1008"/>
      <c r="I2" s="1075" t="s">
        <v>633</v>
      </c>
      <c r="J2" s="1075"/>
      <c r="K2" s="1076"/>
      <c r="L2" s="1077" t="s">
        <v>632</v>
      </c>
      <c r="M2" s="1078"/>
      <c r="N2" s="1079"/>
      <c r="O2" s="1080" t="s">
        <v>631</v>
      </c>
      <c r="P2" s="1075"/>
      <c r="Q2" s="1081"/>
    </row>
    <row r="3" spans="1:23" ht="12.75" customHeight="1">
      <c r="A3" s="1094" t="s">
        <v>378</v>
      </c>
      <c r="B3" s="1095"/>
      <c r="C3" s="1096" t="s">
        <v>465</v>
      </c>
      <c r="D3" s="1097"/>
      <c r="E3" s="1006" t="s">
        <v>630</v>
      </c>
      <c r="F3" s="1006"/>
      <c r="G3" s="1005"/>
      <c r="H3" s="1007"/>
      <c r="I3" s="1098" t="s">
        <v>629</v>
      </c>
      <c r="J3" s="1098"/>
      <c r="K3" s="1097"/>
      <c r="L3" s="1099" t="s">
        <v>628</v>
      </c>
      <c r="M3" s="1100"/>
      <c r="N3" s="1101"/>
      <c r="O3" s="1102" t="s">
        <v>459</v>
      </c>
      <c r="P3" s="1103"/>
      <c r="Q3" s="1104"/>
    </row>
    <row r="4" spans="1:23" ht="12.75" customHeight="1">
      <c r="A4" s="1094" t="s">
        <v>627</v>
      </c>
      <c r="B4" s="1095"/>
      <c r="C4" s="1105" t="s">
        <v>749</v>
      </c>
      <c r="D4" s="1106"/>
      <c r="E4" s="1006" t="s">
        <v>626</v>
      </c>
      <c r="F4" s="1006"/>
      <c r="G4" s="1005"/>
      <c r="H4" s="1004" t="s">
        <v>564</v>
      </c>
      <c r="I4" s="1107"/>
      <c r="J4" s="1107"/>
      <c r="K4" s="1108"/>
      <c r="L4" s="1099" t="s">
        <v>625</v>
      </c>
      <c r="M4" s="1100"/>
      <c r="N4" s="1101"/>
      <c r="O4" s="1102">
        <v>43405</v>
      </c>
      <c r="P4" s="1103"/>
      <c r="Q4" s="1104"/>
    </row>
    <row r="5" spans="1:23" ht="20.25" customHeight="1" thickBot="1">
      <c r="A5" s="1082" t="s">
        <v>585</v>
      </c>
      <c r="B5" s="1083"/>
      <c r="C5" s="1003"/>
      <c r="D5" s="1003"/>
      <c r="E5" s="1002" t="s">
        <v>624</v>
      </c>
      <c r="F5" s="1002"/>
      <c r="G5" s="1001"/>
      <c r="H5" s="1000" t="s">
        <v>623</v>
      </c>
      <c r="I5" s="1084"/>
      <c r="J5" s="1084"/>
      <c r="K5" s="1085"/>
      <c r="L5" s="1086" t="s">
        <v>622</v>
      </c>
      <c r="M5" s="1087"/>
      <c r="N5" s="1088"/>
      <c r="O5" s="1089"/>
      <c r="P5" s="1090"/>
      <c r="Q5" s="1091"/>
    </row>
    <row r="6" spans="1:23" ht="6.75" customHeight="1" thickBot="1"/>
    <row r="7" spans="1:23" ht="13.5" thickBot="1">
      <c r="A7" s="831"/>
      <c r="B7" s="998" t="s">
        <v>621</v>
      </c>
      <c r="C7" s="998" t="s">
        <v>620</v>
      </c>
      <c r="D7" s="998" t="s">
        <v>619</v>
      </c>
      <c r="E7" s="997" t="s">
        <v>618</v>
      </c>
      <c r="F7" s="999" t="s">
        <v>617</v>
      </c>
      <c r="G7" s="998" t="s">
        <v>616</v>
      </c>
      <c r="H7" s="998" t="s">
        <v>615</v>
      </c>
      <c r="I7" s="998" t="s">
        <v>614</v>
      </c>
      <c r="J7" s="999" t="s">
        <v>613</v>
      </c>
      <c r="K7" s="997" t="s">
        <v>612</v>
      </c>
      <c r="L7" s="998" t="s">
        <v>611</v>
      </c>
      <c r="M7" s="998" t="s">
        <v>610</v>
      </c>
      <c r="N7" s="998" t="s">
        <v>609</v>
      </c>
      <c r="O7" s="997" t="s">
        <v>608</v>
      </c>
      <c r="P7" s="996" t="s">
        <v>607</v>
      </c>
      <c r="Q7" s="995" t="s">
        <v>606</v>
      </c>
      <c r="R7" s="965"/>
      <c r="S7" s="965"/>
      <c r="V7" s="965"/>
      <c r="W7" s="965"/>
    </row>
    <row r="8" spans="1:23" ht="18.75" customHeight="1">
      <c r="A8" s="994" t="s">
        <v>605</v>
      </c>
      <c r="B8" s="963" t="s">
        <v>604</v>
      </c>
      <c r="C8" s="1092" t="s">
        <v>603</v>
      </c>
      <c r="D8" s="1092"/>
      <c r="E8" s="1092"/>
      <c r="F8" s="1093"/>
      <c r="G8" s="963" t="s">
        <v>602</v>
      </c>
      <c r="H8" s="1092" t="s">
        <v>601</v>
      </c>
      <c r="I8" s="1092"/>
      <c r="J8" s="1092"/>
      <c r="K8" s="1093"/>
      <c r="L8" s="963" t="s">
        <v>600</v>
      </c>
      <c r="M8" s="1092" t="s">
        <v>599</v>
      </c>
      <c r="N8" s="1092"/>
      <c r="O8" s="1092"/>
      <c r="P8" s="1093"/>
      <c r="Q8" s="993" t="s">
        <v>22</v>
      </c>
      <c r="R8" s="965"/>
      <c r="S8" s="965"/>
      <c r="V8" s="965"/>
      <c r="W8" s="965"/>
    </row>
    <row r="9" spans="1:23" ht="21.75" customHeight="1">
      <c r="A9" s="992" t="s">
        <v>598</v>
      </c>
      <c r="B9" s="990" t="s">
        <v>597</v>
      </c>
      <c r="C9" s="990" t="s">
        <v>595</v>
      </c>
      <c r="D9" s="989" t="s">
        <v>596</v>
      </c>
      <c r="E9" s="991"/>
      <c r="F9" s="987"/>
      <c r="G9" s="990" t="s">
        <v>594</v>
      </c>
      <c r="H9" s="990" t="s">
        <v>595</v>
      </c>
      <c r="I9" s="989" t="s">
        <v>592</v>
      </c>
      <c r="J9" s="991"/>
      <c r="K9" s="987"/>
      <c r="L9" s="990" t="s">
        <v>594</v>
      </c>
      <c r="M9" s="990" t="s">
        <v>593</v>
      </c>
      <c r="N9" s="989" t="s">
        <v>592</v>
      </c>
      <c r="O9" s="988"/>
      <c r="P9" s="987"/>
      <c r="Q9" s="986"/>
      <c r="R9" s="965"/>
      <c r="S9" s="965"/>
      <c r="V9" s="965"/>
      <c r="W9" s="965"/>
    </row>
    <row r="10" spans="1:23" ht="18.75" customHeight="1">
      <c r="A10" s="985">
        <v>1</v>
      </c>
      <c r="B10" s="982">
        <v>850</v>
      </c>
      <c r="C10" s="982">
        <v>850</v>
      </c>
      <c r="D10" s="982">
        <v>850</v>
      </c>
      <c r="E10" s="984">
        <f t="shared" ref="E10:E19" si="0">MAX(B10:D10)-MIN(B10:D10)</f>
        <v>0</v>
      </c>
      <c r="F10" s="983">
        <f t="shared" ref="F10:F19" si="1">IF(ISBLANK(B10),"",AVERAGE(B10:D10))</f>
        <v>850</v>
      </c>
      <c r="G10" s="982">
        <v>850</v>
      </c>
      <c r="H10" s="982">
        <v>850</v>
      </c>
      <c r="I10" s="982">
        <v>850</v>
      </c>
      <c r="J10" s="981">
        <f t="shared" ref="J10:J19" si="2">MAX(G10:I10)-MIN(G10:I10)</f>
        <v>0</v>
      </c>
      <c r="K10" s="980">
        <f t="shared" ref="K10:K19" si="3">IF(ISBLANK(G10),"",AVERAGE(G10:I10))</f>
        <v>850</v>
      </c>
      <c r="L10" s="982">
        <v>850</v>
      </c>
      <c r="M10" s="982">
        <v>850</v>
      </c>
      <c r="N10" s="982">
        <v>850</v>
      </c>
      <c r="O10" s="981">
        <f t="shared" ref="O10:O19" si="4">MAX(L10:N10)-MIN(L10:N10)</f>
        <v>0</v>
      </c>
      <c r="P10" s="980">
        <f t="shared" ref="P10:P19" si="5">IF(ISBLANK(L10),"",AVERAGE(L10:N10))</f>
        <v>850</v>
      </c>
      <c r="Q10" s="980">
        <f t="shared" ref="Q10:Q19" si="6">IF(ISBLANK(B10),0,IF($I$33=3,AVERAGE(F10,K10,P10),AVERAGE(F10,K10)))</f>
        <v>850</v>
      </c>
      <c r="R10" s="965"/>
      <c r="S10" s="965"/>
      <c r="V10" s="965"/>
      <c r="W10" s="965"/>
    </row>
    <row r="11" spans="1:23" ht="18.75" customHeight="1">
      <c r="A11" s="985">
        <v>2</v>
      </c>
      <c r="B11" s="982">
        <v>849.5</v>
      </c>
      <c r="C11" s="982">
        <v>850</v>
      </c>
      <c r="D11" s="982">
        <v>850</v>
      </c>
      <c r="E11" s="984">
        <f t="shared" si="0"/>
        <v>0.5</v>
      </c>
      <c r="F11" s="983">
        <f t="shared" si="1"/>
        <v>849.83333333333337</v>
      </c>
      <c r="G11" s="982">
        <v>849.5</v>
      </c>
      <c r="H11" s="982">
        <v>850</v>
      </c>
      <c r="I11" s="982">
        <v>850</v>
      </c>
      <c r="J11" s="981">
        <f t="shared" si="2"/>
        <v>0.5</v>
      </c>
      <c r="K11" s="980">
        <f t="shared" si="3"/>
        <v>849.83333333333337</v>
      </c>
      <c r="L11" s="982">
        <v>849.5</v>
      </c>
      <c r="M11" s="982">
        <v>850</v>
      </c>
      <c r="N11" s="982">
        <v>850</v>
      </c>
      <c r="O11" s="981">
        <f t="shared" si="4"/>
        <v>0.5</v>
      </c>
      <c r="P11" s="980">
        <f t="shared" si="5"/>
        <v>849.83333333333337</v>
      </c>
      <c r="Q11" s="980">
        <f t="shared" si="6"/>
        <v>849.83333333333337</v>
      </c>
      <c r="R11" s="965"/>
      <c r="S11" s="965"/>
      <c r="V11" s="965"/>
      <c r="W11" s="965"/>
    </row>
    <row r="12" spans="1:23" ht="18.75" customHeight="1">
      <c r="A12" s="985">
        <v>3</v>
      </c>
      <c r="B12" s="982">
        <v>849.5</v>
      </c>
      <c r="C12" s="982">
        <v>850</v>
      </c>
      <c r="D12" s="982">
        <v>850</v>
      </c>
      <c r="E12" s="984">
        <f t="shared" si="0"/>
        <v>0.5</v>
      </c>
      <c r="F12" s="983">
        <f t="shared" si="1"/>
        <v>849.83333333333337</v>
      </c>
      <c r="G12" s="982">
        <v>849.5</v>
      </c>
      <c r="H12" s="982">
        <v>850</v>
      </c>
      <c r="I12" s="982">
        <v>850</v>
      </c>
      <c r="J12" s="981">
        <f t="shared" si="2"/>
        <v>0.5</v>
      </c>
      <c r="K12" s="980">
        <f t="shared" si="3"/>
        <v>849.83333333333337</v>
      </c>
      <c r="L12" s="982">
        <v>849.5</v>
      </c>
      <c r="M12" s="982">
        <v>850</v>
      </c>
      <c r="N12" s="982">
        <v>850</v>
      </c>
      <c r="O12" s="981">
        <f t="shared" si="4"/>
        <v>0.5</v>
      </c>
      <c r="P12" s="980">
        <f t="shared" si="5"/>
        <v>849.83333333333337</v>
      </c>
      <c r="Q12" s="980">
        <f t="shared" si="6"/>
        <v>849.83333333333337</v>
      </c>
      <c r="R12" s="965"/>
      <c r="S12" s="965"/>
      <c r="V12" s="965"/>
      <c r="W12" s="965"/>
    </row>
    <row r="13" spans="1:23" ht="18.75" customHeight="1">
      <c r="A13" s="985">
        <v>4</v>
      </c>
      <c r="B13" s="982">
        <v>850</v>
      </c>
      <c r="C13" s="982">
        <v>850</v>
      </c>
      <c r="D13" s="982">
        <v>850</v>
      </c>
      <c r="E13" s="984">
        <f t="shared" si="0"/>
        <v>0</v>
      </c>
      <c r="F13" s="983">
        <f t="shared" si="1"/>
        <v>850</v>
      </c>
      <c r="G13" s="982">
        <v>850</v>
      </c>
      <c r="H13" s="982">
        <v>850</v>
      </c>
      <c r="I13" s="982">
        <v>850</v>
      </c>
      <c r="J13" s="981">
        <f t="shared" si="2"/>
        <v>0</v>
      </c>
      <c r="K13" s="980">
        <f t="shared" si="3"/>
        <v>850</v>
      </c>
      <c r="L13" s="982">
        <v>850</v>
      </c>
      <c r="M13" s="982">
        <v>850</v>
      </c>
      <c r="N13" s="982">
        <v>850</v>
      </c>
      <c r="O13" s="981">
        <f t="shared" si="4"/>
        <v>0</v>
      </c>
      <c r="P13" s="980">
        <f t="shared" si="5"/>
        <v>850</v>
      </c>
      <c r="Q13" s="980">
        <f t="shared" si="6"/>
        <v>850</v>
      </c>
      <c r="R13" s="965"/>
      <c r="S13" s="965"/>
      <c r="V13" s="965"/>
      <c r="W13" s="965"/>
    </row>
    <row r="14" spans="1:23" ht="18.75" customHeight="1">
      <c r="A14" s="985">
        <v>5</v>
      </c>
      <c r="B14" s="982">
        <v>850.5</v>
      </c>
      <c r="C14" s="982">
        <v>850.5</v>
      </c>
      <c r="D14" s="982">
        <v>850.5</v>
      </c>
      <c r="E14" s="984">
        <f t="shared" si="0"/>
        <v>0</v>
      </c>
      <c r="F14" s="983">
        <f t="shared" si="1"/>
        <v>850.5</v>
      </c>
      <c r="G14" s="982">
        <v>850.5</v>
      </c>
      <c r="H14" s="982">
        <v>850.5</v>
      </c>
      <c r="I14" s="982">
        <v>850.5</v>
      </c>
      <c r="J14" s="981">
        <f t="shared" si="2"/>
        <v>0</v>
      </c>
      <c r="K14" s="980">
        <f t="shared" si="3"/>
        <v>850.5</v>
      </c>
      <c r="L14" s="982">
        <v>850.5</v>
      </c>
      <c r="M14" s="982">
        <v>850.5</v>
      </c>
      <c r="N14" s="982">
        <v>850.5</v>
      </c>
      <c r="O14" s="981">
        <f t="shared" si="4"/>
        <v>0</v>
      </c>
      <c r="P14" s="980">
        <f t="shared" si="5"/>
        <v>850.5</v>
      </c>
      <c r="Q14" s="980">
        <f t="shared" si="6"/>
        <v>850.5</v>
      </c>
      <c r="R14" s="965"/>
      <c r="S14" s="965"/>
      <c r="V14" s="965"/>
      <c r="W14" s="965"/>
    </row>
    <row r="15" spans="1:23" ht="18.75" customHeight="1">
      <c r="A15" s="985">
        <v>6</v>
      </c>
      <c r="B15" s="982">
        <v>850</v>
      </c>
      <c r="C15" s="982">
        <v>850.5</v>
      </c>
      <c r="D15" s="982">
        <v>850.5</v>
      </c>
      <c r="E15" s="984">
        <f t="shared" si="0"/>
        <v>0.5</v>
      </c>
      <c r="F15" s="983">
        <f t="shared" si="1"/>
        <v>850.33333333333337</v>
      </c>
      <c r="G15" s="982">
        <v>850</v>
      </c>
      <c r="H15" s="982">
        <v>850.5</v>
      </c>
      <c r="I15" s="982">
        <v>850.5</v>
      </c>
      <c r="J15" s="981">
        <f t="shared" si="2"/>
        <v>0.5</v>
      </c>
      <c r="K15" s="980">
        <f t="shared" si="3"/>
        <v>850.33333333333337</v>
      </c>
      <c r="L15" s="982">
        <v>850</v>
      </c>
      <c r="M15" s="982">
        <v>850.5</v>
      </c>
      <c r="N15" s="982">
        <v>850.5</v>
      </c>
      <c r="O15" s="981">
        <f t="shared" si="4"/>
        <v>0.5</v>
      </c>
      <c r="P15" s="980">
        <f t="shared" si="5"/>
        <v>850.33333333333337</v>
      </c>
      <c r="Q15" s="980">
        <f t="shared" si="6"/>
        <v>850.33333333333337</v>
      </c>
      <c r="R15" s="965"/>
      <c r="S15" s="965"/>
      <c r="V15" s="965"/>
      <c r="W15" s="965"/>
    </row>
    <row r="16" spans="1:23" ht="18.75" customHeight="1">
      <c r="A16" s="985">
        <v>7</v>
      </c>
      <c r="B16" s="982">
        <v>840</v>
      </c>
      <c r="C16" s="982">
        <v>840</v>
      </c>
      <c r="D16" s="982">
        <v>840</v>
      </c>
      <c r="E16" s="984">
        <f t="shared" si="0"/>
        <v>0</v>
      </c>
      <c r="F16" s="983">
        <f t="shared" si="1"/>
        <v>840</v>
      </c>
      <c r="G16" s="982">
        <v>840</v>
      </c>
      <c r="H16" s="982">
        <v>840</v>
      </c>
      <c r="I16" s="982">
        <v>840</v>
      </c>
      <c r="J16" s="981">
        <f t="shared" si="2"/>
        <v>0</v>
      </c>
      <c r="K16" s="980">
        <f t="shared" si="3"/>
        <v>840</v>
      </c>
      <c r="L16" s="982">
        <v>840</v>
      </c>
      <c r="M16" s="982">
        <v>840</v>
      </c>
      <c r="N16" s="982">
        <v>840</v>
      </c>
      <c r="O16" s="981">
        <f t="shared" si="4"/>
        <v>0</v>
      </c>
      <c r="P16" s="980">
        <f t="shared" si="5"/>
        <v>840</v>
      </c>
      <c r="Q16" s="980">
        <f t="shared" si="6"/>
        <v>840</v>
      </c>
      <c r="R16" s="965"/>
      <c r="S16" s="965"/>
      <c r="V16" s="965"/>
      <c r="W16" s="965"/>
    </row>
    <row r="17" spans="1:23" ht="18.75" customHeight="1">
      <c r="A17" s="985">
        <v>8</v>
      </c>
      <c r="B17" s="982">
        <v>850.5</v>
      </c>
      <c r="C17" s="982">
        <v>850.5</v>
      </c>
      <c r="D17" s="982">
        <v>850.5</v>
      </c>
      <c r="E17" s="984">
        <f t="shared" si="0"/>
        <v>0</v>
      </c>
      <c r="F17" s="983">
        <f t="shared" si="1"/>
        <v>850.5</v>
      </c>
      <c r="G17" s="982">
        <v>850</v>
      </c>
      <c r="H17" s="982">
        <v>850.5</v>
      </c>
      <c r="I17" s="982">
        <v>850</v>
      </c>
      <c r="J17" s="981">
        <f t="shared" si="2"/>
        <v>0.5</v>
      </c>
      <c r="K17" s="980">
        <f t="shared" si="3"/>
        <v>850.16666666666663</v>
      </c>
      <c r="L17" s="982">
        <v>850</v>
      </c>
      <c r="M17" s="982">
        <v>850</v>
      </c>
      <c r="N17" s="982">
        <v>850.5</v>
      </c>
      <c r="O17" s="981">
        <f t="shared" si="4"/>
        <v>0.5</v>
      </c>
      <c r="P17" s="980">
        <f t="shared" si="5"/>
        <v>850.16666666666663</v>
      </c>
      <c r="Q17" s="980">
        <f t="shared" si="6"/>
        <v>850.27777777777771</v>
      </c>
      <c r="R17" s="965"/>
      <c r="S17" s="965"/>
      <c r="V17" s="965"/>
      <c r="W17" s="965"/>
    </row>
    <row r="18" spans="1:23" ht="18.75" customHeight="1">
      <c r="A18" s="985">
        <v>9</v>
      </c>
      <c r="B18" s="982">
        <v>850.5</v>
      </c>
      <c r="C18" s="982">
        <v>850.5</v>
      </c>
      <c r="D18" s="982">
        <v>850</v>
      </c>
      <c r="E18" s="984">
        <f t="shared" si="0"/>
        <v>0.5</v>
      </c>
      <c r="F18" s="983">
        <f t="shared" si="1"/>
        <v>850.33333333333337</v>
      </c>
      <c r="G18" s="982">
        <v>850.5</v>
      </c>
      <c r="H18" s="982">
        <v>850</v>
      </c>
      <c r="I18" s="982">
        <v>850.5</v>
      </c>
      <c r="J18" s="981">
        <f t="shared" si="2"/>
        <v>0.5</v>
      </c>
      <c r="K18" s="980">
        <f t="shared" si="3"/>
        <v>850.33333333333337</v>
      </c>
      <c r="L18" s="982">
        <v>850.5</v>
      </c>
      <c r="M18" s="982">
        <v>850</v>
      </c>
      <c r="N18" s="982">
        <v>850</v>
      </c>
      <c r="O18" s="981">
        <f t="shared" si="4"/>
        <v>0.5</v>
      </c>
      <c r="P18" s="980">
        <f t="shared" si="5"/>
        <v>850.16666666666663</v>
      </c>
      <c r="Q18" s="980">
        <f t="shared" si="6"/>
        <v>850.27777777777783</v>
      </c>
      <c r="R18" s="965"/>
      <c r="S18" s="965"/>
      <c r="V18" s="965"/>
      <c r="W18" s="965"/>
    </row>
    <row r="19" spans="1:23" ht="18.75" customHeight="1" thickBot="1">
      <c r="A19" s="985">
        <v>10</v>
      </c>
      <c r="B19" s="982">
        <v>850.5</v>
      </c>
      <c r="C19" s="982">
        <v>850</v>
      </c>
      <c r="D19" s="982">
        <v>850</v>
      </c>
      <c r="E19" s="984">
        <f t="shared" si="0"/>
        <v>0.5</v>
      </c>
      <c r="F19" s="983">
        <f t="shared" si="1"/>
        <v>850.16666666666663</v>
      </c>
      <c r="G19" s="982">
        <v>850.5</v>
      </c>
      <c r="H19" s="982">
        <v>850</v>
      </c>
      <c r="I19" s="982">
        <v>850</v>
      </c>
      <c r="J19" s="981">
        <f t="shared" si="2"/>
        <v>0.5</v>
      </c>
      <c r="K19" s="980">
        <f t="shared" si="3"/>
        <v>850.16666666666663</v>
      </c>
      <c r="L19" s="982">
        <v>850.5</v>
      </c>
      <c r="M19" s="982">
        <v>850</v>
      </c>
      <c r="N19" s="982">
        <v>850</v>
      </c>
      <c r="O19" s="981">
        <f t="shared" si="4"/>
        <v>0.5</v>
      </c>
      <c r="P19" s="980">
        <f t="shared" si="5"/>
        <v>850.16666666666663</v>
      </c>
      <c r="Q19" s="980">
        <f t="shared" si="6"/>
        <v>850.16666666666663</v>
      </c>
      <c r="R19" s="965"/>
      <c r="S19" s="965"/>
      <c r="V19" s="965"/>
      <c r="W19" s="965"/>
    </row>
    <row r="20" spans="1:23" ht="18.75" customHeight="1" thickBot="1">
      <c r="A20" s="979" t="s">
        <v>591</v>
      </c>
      <c r="B20" s="976">
        <f>SUM(B10:B19)</f>
        <v>8491</v>
      </c>
      <c r="C20" s="976">
        <f>SUM(C10:C19)</f>
        <v>8492</v>
      </c>
      <c r="D20" s="976">
        <f>B10</f>
        <v>850</v>
      </c>
      <c r="E20" s="978">
        <f t="shared" ref="E20:Q20" si="7">SUM(E10:E19)</f>
        <v>2.5</v>
      </c>
      <c r="F20" s="977">
        <f t="shared" si="7"/>
        <v>8491.5</v>
      </c>
      <c r="G20" s="976">
        <f t="shared" si="7"/>
        <v>8490.5</v>
      </c>
      <c r="H20" s="976">
        <f t="shared" si="7"/>
        <v>8491.5</v>
      </c>
      <c r="I20" s="976">
        <f t="shared" si="7"/>
        <v>8491.5</v>
      </c>
      <c r="J20" s="975">
        <f t="shared" si="7"/>
        <v>3</v>
      </c>
      <c r="K20" s="974">
        <f t="shared" si="7"/>
        <v>8491.1666666666661</v>
      </c>
      <c r="L20" s="976">
        <f t="shared" si="7"/>
        <v>8490.5</v>
      </c>
      <c r="M20" s="976">
        <f t="shared" si="7"/>
        <v>8491</v>
      </c>
      <c r="N20" s="976">
        <f t="shared" si="7"/>
        <v>8491.5</v>
      </c>
      <c r="O20" s="975">
        <f t="shared" si="7"/>
        <v>3</v>
      </c>
      <c r="P20" s="974">
        <f t="shared" si="7"/>
        <v>8491</v>
      </c>
      <c r="Q20" s="974">
        <f t="shared" si="7"/>
        <v>8491.2222222222208</v>
      </c>
      <c r="R20" s="965"/>
      <c r="S20" s="965"/>
      <c r="V20" s="965"/>
      <c r="W20" s="965"/>
    </row>
    <row r="21" spans="1:23" ht="18.75" customHeight="1" thickBot="1">
      <c r="A21" s="825"/>
      <c r="B21" s="971"/>
      <c r="C21" s="971"/>
      <c r="D21" s="971"/>
      <c r="E21" s="973">
        <f>IF(ISBLANK(B10),0,AVERAGE(E10:E19))</f>
        <v>0.25</v>
      </c>
      <c r="F21" s="972">
        <f>IF(ISBLANK(B10),0,AVERAGE(F10:F19))</f>
        <v>849.15</v>
      </c>
      <c r="G21" s="971"/>
      <c r="H21" s="971"/>
      <c r="I21" s="971"/>
      <c r="J21" s="970">
        <f>IF(ISBLANK(G10),0,AVERAGE(J10:J19))</f>
        <v>0.3</v>
      </c>
      <c r="K21" s="969">
        <f>IF(ISBLANK(G10),0,AVERAGE(K10:K19))</f>
        <v>849.11666666666656</v>
      </c>
      <c r="L21" s="971"/>
      <c r="M21" s="971"/>
      <c r="N21" s="971"/>
      <c r="O21" s="970">
        <f>IF(ISBLANK(L10),0,AVERAGE(O10:O19))</f>
        <v>0.3</v>
      </c>
      <c r="P21" s="969">
        <f>IF(ISBLANK(L10),0,AVERAGE(P10:P19))</f>
        <v>849.1</v>
      </c>
      <c r="Q21" s="969">
        <f>MAX(Q10:Q19)-MIN(Q10:Q19)</f>
        <v>10.5</v>
      </c>
      <c r="R21" s="965"/>
      <c r="S21" s="965"/>
      <c r="V21" s="965"/>
      <c r="W21" s="965"/>
    </row>
    <row r="22" spans="1:23" ht="21.75" customHeight="1" thickBot="1">
      <c r="A22" s="825"/>
      <c r="B22" s="824"/>
      <c r="C22" s="824"/>
      <c r="D22" s="824"/>
      <c r="E22" s="968"/>
      <c r="F22" s="968"/>
      <c r="G22" s="824"/>
      <c r="H22" s="824"/>
      <c r="I22" s="824"/>
      <c r="J22" s="968"/>
      <c r="K22" s="967"/>
      <c r="L22" s="824"/>
      <c r="M22" s="824"/>
      <c r="N22" s="824"/>
      <c r="O22" s="968"/>
      <c r="P22" s="967"/>
      <c r="Q22" s="966"/>
      <c r="V22" s="965"/>
      <c r="W22" s="965"/>
    </row>
    <row r="23" spans="1:23" ht="18.75" customHeight="1">
      <c r="A23" s="964" t="s">
        <v>590</v>
      </c>
      <c r="B23" s="963"/>
      <c r="C23" s="1109">
        <f>IF(I33=3,(E21+J21+O21)/3,(E21+J21)/2)</f>
        <v>0.28333333333333338</v>
      </c>
      <c r="D23" s="1110"/>
      <c r="E23" s="1111"/>
      <c r="F23" s="1112"/>
      <c r="G23" s="1112"/>
      <c r="H23" s="1112"/>
      <c r="I23" s="1113"/>
      <c r="J23" s="1114" t="s">
        <v>589</v>
      </c>
      <c r="K23" s="1115"/>
      <c r="L23" s="962">
        <v>3</v>
      </c>
      <c r="M23" s="961">
        <v>2</v>
      </c>
      <c r="N23" s="1116"/>
      <c r="O23" s="1117"/>
      <c r="P23" s="1118"/>
      <c r="Q23" s="1119"/>
    </row>
    <row r="24" spans="1:23" ht="18.75" customHeight="1" thickBot="1">
      <c r="A24" s="960" t="s">
        <v>588</v>
      </c>
      <c r="B24" s="959"/>
      <c r="C24" s="1120">
        <f>IF(I33=3,MAX(F21,K21,P21)-MIN(F21,K21,P21),MAX(F21,K21)-MIN(F21,K21))</f>
        <v>4.9999999999954525E-2</v>
      </c>
      <c r="D24" s="1121"/>
      <c r="E24" s="1122"/>
      <c r="F24" s="1123"/>
      <c r="G24" s="1123"/>
      <c r="H24" s="1123"/>
      <c r="I24" s="1124"/>
      <c r="J24" s="958" t="s">
        <v>587</v>
      </c>
      <c r="K24" s="957"/>
      <c r="L24" s="956">
        <v>2.5739999999999998</v>
      </c>
      <c r="M24" s="955">
        <v>3.2679999999999998</v>
      </c>
      <c r="N24" s="1125"/>
      <c r="O24" s="1126"/>
      <c r="P24" s="1127"/>
      <c r="Q24" s="1128"/>
    </row>
    <row r="25" spans="1:23" ht="18.75" customHeight="1" thickBot="1">
      <c r="A25" s="954" t="s">
        <v>586</v>
      </c>
      <c r="B25" s="953"/>
      <c r="C25" s="1129">
        <f>IF(C33=3,C23*L24,C23*M24)</f>
        <v>0.72930000000000006</v>
      </c>
      <c r="D25" s="1130"/>
      <c r="E25" s="1131"/>
      <c r="F25" s="1132"/>
      <c r="G25" s="1132"/>
      <c r="H25" s="1132"/>
      <c r="I25" s="1133"/>
      <c r="J25" s="824"/>
      <c r="K25" s="824"/>
      <c r="L25" s="952"/>
      <c r="M25" s="952"/>
      <c r="N25" s="1134"/>
      <c r="O25" s="1135"/>
      <c r="P25" s="1136"/>
      <c r="Q25" s="1137"/>
    </row>
    <row r="26" spans="1:23" s="946" customFormat="1" ht="16.5" customHeight="1">
      <c r="A26" s="951" t="s">
        <v>585</v>
      </c>
      <c r="B26" s="863"/>
      <c r="C26" s="863"/>
      <c r="D26" s="863"/>
      <c r="E26" s="863"/>
      <c r="F26" s="863"/>
      <c r="G26" s="863"/>
      <c r="H26" s="863"/>
      <c r="I26" s="863"/>
      <c r="J26" s="950"/>
      <c r="K26" s="950"/>
      <c r="L26" s="863"/>
      <c r="M26" s="863"/>
      <c r="N26" s="949" t="s">
        <v>584</v>
      </c>
      <c r="O26" s="948"/>
      <c r="P26" s="948"/>
      <c r="Q26" s="947"/>
    </row>
    <row r="27" spans="1:23" s="928" customFormat="1" ht="9.75">
      <c r="A27" s="944" t="s">
        <v>583</v>
      </c>
      <c r="B27" s="937"/>
      <c r="C27" s="937"/>
      <c r="D27" s="937"/>
      <c r="E27" s="937"/>
      <c r="F27" s="937"/>
      <c r="G27" s="937"/>
      <c r="H27" s="937"/>
      <c r="I27" s="939"/>
      <c r="J27" s="938"/>
      <c r="K27" s="937"/>
      <c r="L27" s="937"/>
      <c r="M27" s="937"/>
      <c r="N27" s="942" t="s">
        <v>582</v>
      </c>
      <c r="O27" s="937"/>
      <c r="P27" s="937"/>
      <c r="Q27" s="941"/>
    </row>
    <row r="28" spans="1:23" s="928" customFormat="1" ht="9.75">
      <c r="A28" s="944" t="s">
        <v>581</v>
      </c>
      <c r="B28" s="937"/>
      <c r="C28" s="937"/>
      <c r="D28" s="937"/>
      <c r="E28" s="937"/>
      <c r="F28" s="937"/>
      <c r="G28" s="937"/>
      <c r="H28" s="937"/>
      <c r="I28" s="943"/>
      <c r="J28" s="938"/>
      <c r="K28" s="937"/>
      <c r="L28" s="937"/>
      <c r="M28" s="937"/>
      <c r="N28" s="945" t="s">
        <v>580</v>
      </c>
      <c r="O28" s="935"/>
      <c r="P28" s="935"/>
      <c r="Q28" s="934"/>
    </row>
    <row r="29" spans="1:23" s="928" customFormat="1" ht="9.75">
      <c r="A29" s="944" t="s">
        <v>579</v>
      </c>
      <c r="B29" s="937"/>
      <c r="C29" s="937"/>
      <c r="D29" s="937"/>
      <c r="E29" s="937"/>
      <c r="F29" s="937"/>
      <c r="G29" s="937"/>
      <c r="H29" s="937"/>
      <c r="I29" s="943"/>
      <c r="J29" s="938"/>
      <c r="K29" s="937"/>
      <c r="L29" s="937"/>
      <c r="M29" s="937"/>
      <c r="N29" s="942" t="s">
        <v>578</v>
      </c>
      <c r="O29" s="937"/>
      <c r="P29" s="937"/>
      <c r="Q29" s="941"/>
    </row>
    <row r="30" spans="1:23" s="928" customFormat="1" ht="9.75">
      <c r="A30" s="940" t="s">
        <v>577</v>
      </c>
      <c r="B30" s="937"/>
      <c r="C30" s="937"/>
      <c r="D30" s="937"/>
      <c r="E30" s="937"/>
      <c r="F30" s="937"/>
      <c r="G30" s="937"/>
      <c r="H30" s="937"/>
      <c r="I30" s="939"/>
      <c r="J30" s="938"/>
      <c r="K30" s="937"/>
      <c r="L30" s="937"/>
      <c r="M30" s="937"/>
      <c r="N30" s="936" t="s">
        <v>576</v>
      </c>
      <c r="O30" s="935"/>
      <c r="P30" s="935"/>
      <c r="Q30" s="934"/>
    </row>
    <row r="31" spans="1:23" s="928" customFormat="1" ht="10.5" thickBot="1">
      <c r="A31" s="933" t="s">
        <v>575</v>
      </c>
      <c r="B31" s="930"/>
      <c r="C31" s="930"/>
      <c r="D31" s="930"/>
      <c r="E31" s="930"/>
      <c r="F31" s="930"/>
      <c r="G31" s="930"/>
      <c r="H31" s="930"/>
      <c r="I31" s="932"/>
      <c r="J31" s="932"/>
      <c r="K31" s="930"/>
      <c r="L31" s="930"/>
      <c r="M31" s="929"/>
      <c r="N31" s="931" t="s">
        <v>574</v>
      </c>
      <c r="O31" s="930"/>
      <c r="P31" s="930"/>
      <c r="Q31" s="929"/>
    </row>
    <row r="32" spans="1:23" ht="50.25" customHeight="1" thickBot="1"/>
    <row r="33" spans="1:23" ht="27" customHeight="1" thickBot="1">
      <c r="A33" s="1138" t="s">
        <v>506</v>
      </c>
      <c r="B33" s="1139"/>
      <c r="C33" s="1140">
        <f>IF(ISBLANK(D10),2,3)</f>
        <v>3</v>
      </c>
      <c r="D33" s="1140"/>
      <c r="E33" s="1140"/>
      <c r="F33" s="1141" t="s">
        <v>573</v>
      </c>
      <c r="G33" s="1141"/>
      <c r="H33" s="1142"/>
      <c r="I33" s="1140">
        <f>IF(ISBLANK(L10),2,3)</f>
        <v>3</v>
      </c>
      <c r="J33" s="1140"/>
      <c r="K33" s="1140"/>
      <c r="L33" s="1142" t="s">
        <v>572</v>
      </c>
      <c r="M33" s="1142"/>
      <c r="N33" s="1142"/>
      <c r="O33" s="1143">
        <f>MAX(5,10-COUNTBLANK(B10:B19))</f>
        <v>10</v>
      </c>
      <c r="P33" s="1143"/>
      <c r="Q33" s="1144"/>
    </row>
    <row r="34" spans="1:23" ht="20.100000000000001" customHeight="1" thickBot="1">
      <c r="A34" s="1152" t="s">
        <v>571</v>
      </c>
      <c r="B34" s="1153"/>
      <c r="C34" s="1153"/>
      <c r="D34" s="1153"/>
      <c r="E34" s="1153"/>
      <c r="F34" s="1154" t="s">
        <v>537</v>
      </c>
      <c r="G34" s="1155"/>
      <c r="H34" s="927"/>
      <c r="I34" s="927"/>
      <c r="J34" s="927"/>
      <c r="K34" s="927"/>
      <c r="L34" s="927"/>
      <c r="M34" s="927"/>
      <c r="N34" s="927"/>
      <c r="O34" s="927"/>
      <c r="P34" s="927"/>
      <c r="Q34" s="926"/>
      <c r="S34" s="925" t="s">
        <v>537</v>
      </c>
    </row>
    <row r="35" spans="1:23" ht="20.100000000000001" customHeight="1">
      <c r="A35" s="1156" t="s">
        <v>570</v>
      </c>
      <c r="B35" s="1157"/>
      <c r="C35" s="1156" t="s">
        <v>569</v>
      </c>
      <c r="D35" s="1157"/>
      <c r="E35" s="1157"/>
      <c r="F35" s="1157"/>
      <c r="G35" s="1160"/>
      <c r="H35" s="1162" t="s">
        <v>568</v>
      </c>
      <c r="I35" s="1163"/>
      <c r="J35" s="1163"/>
      <c r="K35" s="1163"/>
      <c r="L35" s="1163"/>
      <c r="M35" s="1163"/>
      <c r="N35" s="1163"/>
      <c r="O35" s="1163"/>
      <c r="P35" s="1163"/>
      <c r="Q35" s="1164"/>
      <c r="S35" s="925" t="s">
        <v>567</v>
      </c>
    </row>
    <row r="36" spans="1:23" ht="20.100000000000001" customHeight="1" thickBot="1">
      <c r="A36" s="1158"/>
      <c r="B36" s="1159"/>
      <c r="C36" s="1158"/>
      <c r="D36" s="1159"/>
      <c r="E36" s="1159"/>
      <c r="F36" s="1159"/>
      <c r="G36" s="1161"/>
      <c r="H36" s="1165" t="s">
        <v>566</v>
      </c>
      <c r="I36" s="1166"/>
      <c r="J36" s="1166"/>
      <c r="K36" s="1166"/>
      <c r="L36" s="1167"/>
      <c r="M36" s="1166" t="s">
        <v>565</v>
      </c>
      <c r="N36" s="1166"/>
      <c r="O36" s="1166"/>
      <c r="P36" s="1166"/>
      <c r="Q36" s="1168"/>
      <c r="S36" s="925" t="s">
        <v>564</v>
      </c>
    </row>
    <row r="37" spans="1:23" ht="18" customHeight="1">
      <c r="A37" s="1145" t="s">
        <v>563</v>
      </c>
      <c r="B37" s="1146"/>
      <c r="C37" s="1147" t="s">
        <v>562</v>
      </c>
      <c r="D37" s="1148"/>
      <c r="E37" s="1148"/>
      <c r="F37" s="1148"/>
      <c r="G37" s="1149"/>
      <c r="H37" s="1147" t="s">
        <v>562</v>
      </c>
      <c r="I37" s="1148"/>
      <c r="J37" s="1148"/>
      <c r="K37" s="1148"/>
      <c r="L37" s="1148"/>
      <c r="M37" s="1150" t="s">
        <v>562</v>
      </c>
      <c r="N37" s="1148"/>
      <c r="O37" s="1148"/>
      <c r="P37" s="1148"/>
      <c r="Q37" s="1149"/>
    </row>
    <row r="38" spans="1:23" ht="20.100000000000001" customHeight="1" thickBot="1">
      <c r="A38" s="907"/>
      <c r="B38" s="924">
        <f>$C$23</f>
        <v>0.28333333333333338</v>
      </c>
      <c r="C38" s="905" t="s">
        <v>561</v>
      </c>
      <c r="D38" s="923">
        <f>PRODUCT(B38,IF(C33=3,J48,I48))</f>
        <v>0.16739333333333337</v>
      </c>
      <c r="E38" s="883"/>
      <c r="F38" s="916"/>
      <c r="G38" s="922"/>
      <c r="H38" s="915" t="s">
        <v>559</v>
      </c>
      <c r="I38" s="898">
        <f>IF(F34=H4,"",100*D38/IF(F34=C46,D46,I5/6))</f>
        <v>5.0609639038726142</v>
      </c>
      <c r="J38" s="897" t="s">
        <v>560</v>
      </c>
      <c r="K38" s="896"/>
      <c r="L38" s="900"/>
      <c r="M38" s="914" t="s">
        <v>559</v>
      </c>
      <c r="N38" s="898" t="str">
        <f>IF(ISNUMBER(I4),100*D38/(I4/6),"")</f>
        <v/>
      </c>
      <c r="O38" s="897" t="s">
        <v>558</v>
      </c>
      <c r="P38" s="896"/>
      <c r="Q38" s="895"/>
    </row>
    <row r="39" spans="1:23" ht="20.100000000000001" customHeight="1">
      <c r="A39" s="1151" t="s">
        <v>557</v>
      </c>
      <c r="B39" s="1146"/>
      <c r="C39" s="1147" t="s">
        <v>556</v>
      </c>
      <c r="D39" s="1148"/>
      <c r="E39" s="1148"/>
      <c r="F39" s="1148"/>
      <c r="G39" s="1149"/>
      <c r="H39" s="1147" t="s">
        <v>556</v>
      </c>
      <c r="I39" s="1148"/>
      <c r="J39" s="1148"/>
      <c r="K39" s="1148"/>
      <c r="L39" s="1149"/>
      <c r="M39" s="1147" t="s">
        <v>556</v>
      </c>
      <c r="N39" s="1148"/>
      <c r="O39" s="1148"/>
      <c r="P39" s="1148"/>
      <c r="Q39" s="1149"/>
      <c r="W39" s="921"/>
    </row>
    <row r="40" spans="1:23" ht="20.100000000000001" customHeight="1" thickBot="1">
      <c r="A40" s="920"/>
      <c r="B40" s="919">
        <f>$C$24</f>
        <v>4.9999999999954525E-2</v>
      </c>
      <c r="C40" s="918" t="s">
        <v>555</v>
      </c>
      <c r="D40" s="917">
        <f>IF(S40&lt;0,0,SQRT(S40))</f>
        <v>0</v>
      </c>
      <c r="E40" s="883"/>
      <c r="F40" s="916"/>
      <c r="G40" s="881"/>
      <c r="H40" s="915" t="s">
        <v>553</v>
      </c>
      <c r="I40" s="898">
        <f>IF(F34=H4,"",100*D40/IF(F34=C46,D46,I5/6))</f>
        <v>0</v>
      </c>
      <c r="J40" s="897" t="s">
        <v>554</v>
      </c>
      <c r="K40" s="896"/>
      <c r="L40" s="900"/>
      <c r="M40" s="914" t="s">
        <v>553</v>
      </c>
      <c r="N40" s="898" t="str">
        <f>IF(ISNUMBER(I4),100*D40/(I4/6),"")</f>
        <v/>
      </c>
      <c r="O40" s="897" t="s">
        <v>552</v>
      </c>
      <c r="P40" s="896"/>
      <c r="Q40" s="895"/>
      <c r="S40" s="913">
        <f>(POWER(PRODUCT(IF(I33=3,N48,M48),B40),2))-(POWER(D38,2)/(I33*O33))</f>
        <v>-2.4993357648272617E-4</v>
      </c>
      <c r="W40" s="912"/>
    </row>
    <row r="41" spans="1:23" ht="20.100000000000001" customHeight="1">
      <c r="A41" s="894"/>
      <c r="B41" s="893"/>
      <c r="C41" s="1180" t="s">
        <v>551</v>
      </c>
      <c r="D41" s="1148"/>
      <c r="E41" s="1148"/>
      <c r="F41" s="1148"/>
      <c r="G41" s="1149"/>
      <c r="H41" s="1180" t="s">
        <v>551</v>
      </c>
      <c r="I41" s="1148"/>
      <c r="J41" s="1148"/>
      <c r="K41" s="1148"/>
      <c r="L41" s="1149"/>
      <c r="M41" s="1180" t="s">
        <v>551</v>
      </c>
      <c r="N41" s="1148"/>
      <c r="O41" s="1148"/>
      <c r="P41" s="1148"/>
      <c r="Q41" s="1149"/>
    </row>
    <row r="42" spans="1:23" ht="20.100000000000001" customHeight="1" thickBot="1">
      <c r="A42" s="911"/>
      <c r="B42" s="886"/>
      <c r="C42" s="910" t="s">
        <v>550</v>
      </c>
      <c r="D42" s="909">
        <f>SQRT(SUM(POWER(D38,2),POWER(D40,2)))</f>
        <v>0.16739333333333337</v>
      </c>
      <c r="E42" s="883"/>
      <c r="F42" s="902"/>
      <c r="G42" s="881"/>
      <c r="H42" s="905" t="s">
        <v>548</v>
      </c>
      <c r="I42" s="898">
        <f>IF(F34=H4,"",100*D42/IF(F34=C46,D46,I5/6))</f>
        <v>5.0609639038726142</v>
      </c>
      <c r="J42" s="897" t="s">
        <v>549</v>
      </c>
      <c r="K42" s="896"/>
      <c r="L42" s="900"/>
      <c r="M42" s="908" t="s">
        <v>548</v>
      </c>
      <c r="N42" s="898" t="str">
        <f>IF(ISNUMBER(I4),100*D42/(I4/6),"")</f>
        <v/>
      </c>
      <c r="O42" s="897" t="s">
        <v>547</v>
      </c>
      <c r="P42" s="896"/>
      <c r="Q42" s="895"/>
    </row>
    <row r="43" spans="1:23" ht="20.100000000000001" customHeight="1">
      <c r="A43" s="1145" t="s">
        <v>546</v>
      </c>
      <c r="B43" s="1146"/>
      <c r="C43" s="1180" t="s">
        <v>545</v>
      </c>
      <c r="D43" s="1148"/>
      <c r="E43" s="1148"/>
      <c r="F43" s="1148"/>
      <c r="G43" s="1149"/>
      <c r="H43" s="1180" t="s">
        <v>545</v>
      </c>
      <c r="I43" s="1148"/>
      <c r="J43" s="1148"/>
      <c r="K43" s="1148"/>
      <c r="L43" s="1149"/>
      <c r="M43" s="1180" t="s">
        <v>545</v>
      </c>
      <c r="N43" s="1148"/>
      <c r="O43" s="1148"/>
      <c r="P43" s="1148"/>
      <c r="Q43" s="1149"/>
    </row>
    <row r="44" spans="1:23" ht="20.100000000000001" customHeight="1" thickBot="1">
      <c r="A44" s="907"/>
      <c r="B44" s="906">
        <f>$Q$21</f>
        <v>10.5</v>
      </c>
      <c r="C44" s="905" t="s">
        <v>544</v>
      </c>
      <c r="D44" s="904">
        <f>PRODUCT(B44,IF(O33=10,P51,IF(O33=9,O51,IF(O33=8,N51,IF(O33=7,M51,IF(O33=6,L51,IF(O33=5,K51," ")))))))</f>
        <v>3.3033000000000001</v>
      </c>
      <c r="E44" s="903"/>
      <c r="F44" s="902"/>
      <c r="G44" s="881"/>
      <c r="H44" s="901" t="s">
        <v>542</v>
      </c>
      <c r="I44" s="898">
        <f>IF(F34=H4,"",100*D44/IF(F34=C46,D46,I5/6))</f>
        <v>99.871851111129899</v>
      </c>
      <c r="J44" s="897" t="s">
        <v>543</v>
      </c>
      <c r="K44" s="896"/>
      <c r="L44" s="900"/>
      <c r="M44" s="899" t="s">
        <v>542</v>
      </c>
      <c r="N44" s="898" t="str">
        <f>IF(ISNUMBER(I4),100*D44/(I4/6),"")</f>
        <v/>
      </c>
      <c r="O44" s="897" t="s">
        <v>541</v>
      </c>
      <c r="P44" s="896"/>
      <c r="Q44" s="895"/>
    </row>
    <row r="45" spans="1:23" ht="20.100000000000001" customHeight="1">
      <c r="A45" s="894"/>
      <c r="B45" s="893"/>
      <c r="C45" s="1169" t="s">
        <v>540</v>
      </c>
      <c r="D45" s="1170"/>
      <c r="E45" s="1170"/>
      <c r="F45" s="1170"/>
      <c r="G45" s="1171"/>
      <c r="H45" s="892" t="s">
        <v>539</v>
      </c>
      <c r="I45" s="891"/>
      <c r="J45" s="890" t="s">
        <v>538</v>
      </c>
      <c r="K45" s="889"/>
      <c r="L45" s="889"/>
      <c r="M45" s="889"/>
      <c r="N45" s="889"/>
      <c r="O45" s="889"/>
      <c r="P45" s="889"/>
      <c r="Q45" s="888"/>
    </row>
    <row r="46" spans="1:23" ht="20.100000000000001" customHeight="1" thickBot="1">
      <c r="A46" s="887"/>
      <c r="B46" s="886"/>
      <c r="C46" s="885" t="s">
        <v>537</v>
      </c>
      <c r="D46" s="884">
        <f>SQRT(SUM(POWER(D42,2),POWER(D44,2)))</f>
        <v>3.3075385739314433</v>
      </c>
      <c r="E46" s="883"/>
      <c r="F46" s="882"/>
      <c r="G46" s="881"/>
      <c r="H46" s="880" t="s">
        <v>536</v>
      </c>
      <c r="I46" s="879">
        <f>FLOOR(IF(D42=0,0,1.41*(D44/D42)),1)</f>
        <v>27</v>
      </c>
      <c r="J46" s="878" t="str">
        <f>IF(I46&lt;5," ","X")</f>
        <v>X</v>
      </c>
      <c r="K46" s="1172" t="s">
        <v>535</v>
      </c>
      <c r="L46" s="1173"/>
      <c r="M46" s="1174"/>
      <c r="N46" s="877" t="str">
        <f>IF(I46&lt;5,"X"," ")</f>
        <v xml:space="preserve"> </v>
      </c>
      <c r="O46" s="1172" t="s">
        <v>534</v>
      </c>
      <c r="P46" s="1175"/>
      <c r="Q46" s="1176"/>
    </row>
    <row r="47" spans="1:23" ht="18" customHeight="1">
      <c r="A47" s="1177" t="s">
        <v>533</v>
      </c>
      <c r="B47" s="1178"/>
      <c r="C47" s="1178"/>
      <c r="D47" s="1178"/>
      <c r="E47" s="1178"/>
      <c r="F47" s="1179"/>
      <c r="G47" s="1114" t="s">
        <v>532</v>
      </c>
      <c r="H47" s="1115"/>
      <c r="I47" s="876">
        <v>2</v>
      </c>
      <c r="J47" s="875">
        <v>3</v>
      </c>
      <c r="K47" s="1114" t="s">
        <v>531</v>
      </c>
      <c r="L47" s="1115"/>
      <c r="M47" s="874">
        <v>2</v>
      </c>
      <c r="N47" s="873">
        <v>3</v>
      </c>
      <c r="O47" s="872"/>
      <c r="P47" s="824"/>
      <c r="Q47" s="823"/>
    </row>
    <row r="48" spans="1:23" ht="15" customHeight="1" thickBot="1">
      <c r="A48" s="1188" t="str">
        <f>IF(F34=H4,"% tolerance","max.(% GRR, % tolerance)")</f>
        <v>max.(% GRR, % tolerance)</v>
      </c>
      <c r="B48" s="1189"/>
      <c r="C48" s="1189"/>
      <c r="D48" s="1190">
        <f>MAX(I42,N42)</f>
        <v>5.0609639038726142</v>
      </c>
      <c r="E48" s="1191"/>
      <c r="F48" s="1192"/>
      <c r="G48" s="871" t="s">
        <v>530</v>
      </c>
      <c r="H48" s="870"/>
      <c r="I48" s="869">
        <v>0.88619999999999999</v>
      </c>
      <c r="J48" s="868">
        <v>0.59079999999999999</v>
      </c>
      <c r="K48" s="867" t="s">
        <v>529</v>
      </c>
      <c r="L48" s="866"/>
      <c r="M48" s="865">
        <v>0.70709999999999995</v>
      </c>
      <c r="N48" s="864">
        <v>0.52310000000000001</v>
      </c>
      <c r="O48" s="863"/>
      <c r="P48" s="824"/>
      <c r="Q48" s="823"/>
    </row>
    <row r="49" spans="1:23" ht="15" customHeight="1" thickBot="1">
      <c r="A49" s="850" t="str">
        <f>IF(D48&gt;10," ","X")</f>
        <v>X</v>
      </c>
      <c r="B49" s="1193" t="s">
        <v>528</v>
      </c>
      <c r="C49" s="1194"/>
      <c r="D49" s="1194"/>
      <c r="E49" s="1194"/>
      <c r="F49" s="1195"/>
      <c r="G49" s="862"/>
      <c r="H49" s="860"/>
      <c r="I49" s="861"/>
      <c r="J49" s="860"/>
      <c r="K49" s="861"/>
      <c r="L49" s="860"/>
      <c r="M49" s="861"/>
      <c r="N49" s="860"/>
      <c r="O49" s="861"/>
      <c r="P49" s="860"/>
      <c r="Q49" s="823"/>
    </row>
    <row r="50" spans="1:23" ht="15" customHeight="1">
      <c r="A50" s="850" t="str">
        <f>IF(D48&gt;10,IF(D48&gt;30," ","X")," ")</f>
        <v xml:space="preserve"> </v>
      </c>
      <c r="B50" s="1193" t="s">
        <v>527</v>
      </c>
      <c r="C50" s="1194"/>
      <c r="D50" s="1194"/>
      <c r="E50" s="1194"/>
      <c r="F50" s="1195"/>
      <c r="G50" s="859" t="s">
        <v>526</v>
      </c>
      <c r="H50" s="858">
        <v>2</v>
      </c>
      <c r="I50" s="857">
        <v>3</v>
      </c>
      <c r="J50" s="858">
        <v>4</v>
      </c>
      <c r="K50" s="857">
        <v>5</v>
      </c>
      <c r="L50" s="858">
        <v>6</v>
      </c>
      <c r="M50" s="857">
        <v>7</v>
      </c>
      <c r="N50" s="858">
        <v>8</v>
      </c>
      <c r="O50" s="857">
        <v>9</v>
      </c>
      <c r="P50" s="856">
        <v>10</v>
      </c>
      <c r="Q50" s="855"/>
    </row>
    <row r="51" spans="1:23" ht="15" customHeight="1" thickBot="1">
      <c r="A51" s="849" t="str">
        <f>IF(D48&gt;30,"X"," ")</f>
        <v xml:space="preserve"> </v>
      </c>
      <c r="B51" s="1196" t="s">
        <v>525</v>
      </c>
      <c r="C51" s="1197"/>
      <c r="D51" s="1197"/>
      <c r="E51" s="1197"/>
      <c r="F51" s="1198"/>
      <c r="G51" s="854" t="s">
        <v>524</v>
      </c>
      <c r="H51" s="853">
        <v>0.70709999999999995</v>
      </c>
      <c r="I51" s="853">
        <v>0.52310000000000001</v>
      </c>
      <c r="J51" s="853">
        <v>0.44669999999999999</v>
      </c>
      <c r="K51" s="853">
        <v>0.40300000000000002</v>
      </c>
      <c r="L51" s="853">
        <v>0.37419999999999998</v>
      </c>
      <c r="M51" s="853">
        <v>0.35339999999999999</v>
      </c>
      <c r="N51" s="853">
        <v>0.33750000000000002</v>
      </c>
      <c r="O51" s="853">
        <v>0.32490000000000002</v>
      </c>
      <c r="P51" s="852">
        <v>0.31459999999999999</v>
      </c>
      <c r="Q51" s="851"/>
    </row>
    <row r="52" spans="1:23" ht="12.75" customHeight="1">
      <c r="A52" s="1199" t="s">
        <v>523</v>
      </c>
      <c r="B52" s="1200"/>
      <c r="C52" s="1200"/>
      <c r="D52" s="1200"/>
      <c r="E52" s="1200"/>
      <c r="F52" s="1201"/>
      <c r="G52" s="1215" t="s">
        <v>522</v>
      </c>
      <c r="H52" s="1216"/>
      <c r="I52" s="1216"/>
      <c r="J52" s="1216"/>
      <c r="K52" s="1216"/>
      <c r="L52" s="1216"/>
      <c r="M52" s="1216"/>
      <c r="N52" s="1216"/>
      <c r="O52" s="1216"/>
      <c r="P52" s="1216"/>
      <c r="Q52" s="1217"/>
    </row>
    <row r="53" spans="1:23">
      <c r="A53" s="1202"/>
      <c r="B53" s="1203"/>
      <c r="C53" s="1203"/>
      <c r="D53" s="1203"/>
      <c r="E53" s="1203"/>
      <c r="F53" s="1204"/>
      <c r="G53" s="1218"/>
      <c r="H53" s="1219"/>
      <c r="I53" s="1219"/>
      <c r="J53" s="1219"/>
      <c r="K53" s="1219"/>
      <c r="L53" s="1219"/>
      <c r="M53" s="1219"/>
      <c r="N53" s="1219"/>
      <c r="O53" s="1219"/>
      <c r="P53" s="1219"/>
      <c r="Q53" s="1220"/>
    </row>
    <row r="54" spans="1:23" ht="15" customHeight="1">
      <c r="A54" s="850" t="str">
        <f>IF(A49="X",IF(J46="X","X"," ")," ")</f>
        <v>X</v>
      </c>
      <c r="B54" s="1224" t="s">
        <v>521</v>
      </c>
      <c r="C54" s="1194"/>
      <c r="D54" s="1194"/>
      <c r="E54" s="1194"/>
      <c r="F54" s="1195"/>
      <c r="G54" s="1218"/>
      <c r="H54" s="1219"/>
      <c r="I54" s="1219"/>
      <c r="J54" s="1219"/>
      <c r="K54" s="1219"/>
      <c r="L54" s="1219"/>
      <c r="M54" s="1219"/>
      <c r="N54" s="1219"/>
      <c r="O54" s="1219"/>
      <c r="P54" s="1219"/>
      <c r="Q54" s="1220"/>
    </row>
    <row r="55" spans="1:23" ht="15" customHeight="1">
      <c r="A55" s="850" t="str">
        <f>IF(A49="X",IF(N46="X","X"," "),IF(A50="X","X"," "))</f>
        <v xml:space="preserve"> </v>
      </c>
      <c r="B55" s="1224" t="s">
        <v>520</v>
      </c>
      <c r="C55" s="1194"/>
      <c r="D55" s="1194"/>
      <c r="E55" s="1194"/>
      <c r="F55" s="1195"/>
      <c r="G55" s="1218"/>
      <c r="H55" s="1219"/>
      <c r="I55" s="1219"/>
      <c r="J55" s="1219"/>
      <c r="K55" s="1219"/>
      <c r="L55" s="1219"/>
      <c r="M55" s="1219"/>
      <c r="N55" s="1219"/>
      <c r="O55" s="1219"/>
      <c r="P55" s="1219"/>
      <c r="Q55" s="1220"/>
    </row>
    <row r="56" spans="1:23" ht="21" customHeight="1" thickBot="1">
      <c r="A56" s="849" t="str">
        <f>IF(A51="X","X"," ")</f>
        <v xml:space="preserve"> </v>
      </c>
      <c r="B56" s="1225" t="s">
        <v>519</v>
      </c>
      <c r="C56" s="1197"/>
      <c r="D56" s="1197"/>
      <c r="E56" s="1197"/>
      <c r="F56" s="1198"/>
      <c r="G56" s="1221"/>
      <c r="H56" s="1222"/>
      <c r="I56" s="1222"/>
      <c r="J56" s="1222"/>
      <c r="K56" s="1222"/>
      <c r="L56" s="1222"/>
      <c r="M56" s="1222"/>
      <c r="N56" s="1222"/>
      <c r="O56" s="1222"/>
      <c r="P56" s="1222"/>
      <c r="Q56" s="1223"/>
    </row>
    <row r="57" spans="1:23" ht="46.5" customHeight="1" thickBot="1"/>
    <row r="58" spans="1:23" ht="21.75" customHeight="1">
      <c r="A58" s="1181" t="s">
        <v>518</v>
      </c>
      <c r="B58" s="1183" t="s">
        <v>517</v>
      </c>
      <c r="C58" s="1183"/>
      <c r="D58" s="1183"/>
      <c r="E58" s="1184" t="s">
        <v>516</v>
      </c>
      <c r="F58" s="1185"/>
      <c r="G58" s="1186"/>
      <c r="H58" s="1183" t="s">
        <v>498</v>
      </c>
      <c r="I58" s="1183"/>
      <c r="J58" s="1183"/>
      <c r="K58" s="1184" t="s">
        <v>515</v>
      </c>
      <c r="L58" s="1185"/>
      <c r="M58" s="1186"/>
      <c r="N58" s="1187"/>
      <c r="O58" s="1115"/>
      <c r="P58" s="1205">
        <f>AVERAGE(Q10:Q19)</f>
        <v>849.12222222222204</v>
      </c>
      <c r="Q58" s="1206"/>
    </row>
    <row r="59" spans="1:23" ht="20.100000000000001" customHeight="1">
      <c r="A59" s="1182"/>
      <c r="B59" s="848" t="s">
        <v>514</v>
      </c>
      <c r="C59" s="848" t="s">
        <v>513</v>
      </c>
      <c r="D59" s="848" t="s">
        <v>512</v>
      </c>
      <c r="E59" s="848" t="s">
        <v>511</v>
      </c>
      <c r="F59" s="848" t="s">
        <v>510</v>
      </c>
      <c r="G59" s="848" t="s">
        <v>509</v>
      </c>
      <c r="H59" s="848" t="s">
        <v>514</v>
      </c>
      <c r="I59" s="848" t="s">
        <v>513</v>
      </c>
      <c r="J59" s="848" t="s">
        <v>512</v>
      </c>
      <c r="K59" s="848" t="s">
        <v>511</v>
      </c>
      <c r="L59" s="848" t="s">
        <v>510</v>
      </c>
      <c r="M59" s="848" t="s">
        <v>509</v>
      </c>
      <c r="N59" s="1207"/>
      <c r="O59" s="1208"/>
      <c r="P59" s="1209">
        <f>C23</f>
        <v>0.28333333333333338</v>
      </c>
      <c r="Q59" s="1210"/>
    </row>
    <row r="60" spans="1:23">
      <c r="A60" s="845">
        <v>1</v>
      </c>
      <c r="B60" s="844">
        <f t="shared" ref="B60:B69" si="8">F10</f>
        <v>850</v>
      </c>
      <c r="C60" s="844">
        <f t="shared" ref="C60:C69" si="9">K10</f>
        <v>850</v>
      </c>
      <c r="D60" s="844">
        <f t="shared" ref="D60:D69" si="10">P10</f>
        <v>850</v>
      </c>
      <c r="E60" s="844">
        <f>P58+(P59*(IF(C33="3",P62,P61)))</f>
        <v>849.65488888888865</v>
      </c>
      <c r="F60" s="844">
        <f>P58</f>
        <v>849.12222222222204</v>
      </c>
      <c r="G60" s="844">
        <f>P58-(P59*(IF(C33="3",P62,P61)))</f>
        <v>848.58955555555542</v>
      </c>
      <c r="H60" s="844">
        <f t="shared" ref="H60:H69" si="11">E10</f>
        <v>0</v>
      </c>
      <c r="I60" s="844">
        <f t="shared" ref="I60:I69" si="12">J10</f>
        <v>0</v>
      </c>
      <c r="J60" s="844">
        <f t="shared" ref="J60:J69" si="13">O10</f>
        <v>0</v>
      </c>
      <c r="K60" s="844">
        <f>P59*(IF(C33=3,P65,P64))</f>
        <v>0.72930000000000006</v>
      </c>
      <c r="L60" s="844">
        <f t="shared" ref="L60:L69" si="14">$P$59</f>
        <v>0.28333333333333338</v>
      </c>
      <c r="M60" s="844">
        <v>0</v>
      </c>
      <c r="N60" s="1211" t="s">
        <v>508</v>
      </c>
      <c r="O60" s="1211"/>
      <c r="P60" s="1212" t="s">
        <v>507</v>
      </c>
      <c r="Q60" s="1213"/>
      <c r="U60" s="840">
        <f t="shared" ref="U60:U69" si="15">IF(B60="",0,IF(MAX(B60-$E60,$G60-B60)&gt;0,1,0))</f>
        <v>1</v>
      </c>
      <c r="V60" s="840">
        <f t="shared" ref="V60:V69" si="16">IF(C60="",0,IF(MAX(C60-$E60,$G60-C60)&gt;0,1,0))</f>
        <v>1</v>
      </c>
      <c r="W60" s="840">
        <f t="shared" ref="W60:W69" si="17">IF(D60="",0,IF(MAX(D60-$E60,$G60-D60)&gt;0,1,0))</f>
        <v>1</v>
      </c>
    </row>
    <row r="61" spans="1:23">
      <c r="A61" s="845">
        <v>2</v>
      </c>
      <c r="B61" s="844">
        <f t="shared" si="8"/>
        <v>849.83333333333337</v>
      </c>
      <c r="C61" s="844">
        <f t="shared" si="9"/>
        <v>849.83333333333337</v>
      </c>
      <c r="D61" s="844">
        <f t="shared" si="10"/>
        <v>849.83333333333337</v>
      </c>
      <c r="E61" s="844">
        <f t="shared" ref="E61:E69" si="18">$E$60</f>
        <v>849.65488888888865</v>
      </c>
      <c r="F61" s="844">
        <f t="shared" ref="F61:F69" si="19">$F$60</f>
        <v>849.12222222222204</v>
      </c>
      <c r="G61" s="844">
        <f t="shared" ref="G61:G69" si="20">$G$60</f>
        <v>848.58955555555542</v>
      </c>
      <c r="H61" s="844">
        <f t="shared" si="11"/>
        <v>0.5</v>
      </c>
      <c r="I61" s="844">
        <f t="shared" si="12"/>
        <v>0.5</v>
      </c>
      <c r="J61" s="844">
        <f t="shared" si="13"/>
        <v>0.5</v>
      </c>
      <c r="K61" s="844">
        <f t="shared" ref="K61:K69" si="21">$K$60</f>
        <v>0.72930000000000006</v>
      </c>
      <c r="L61" s="844">
        <f t="shared" si="14"/>
        <v>0.28333333333333338</v>
      </c>
      <c r="M61" s="844">
        <f t="shared" ref="M61:M69" si="22">$M$60</f>
        <v>0</v>
      </c>
      <c r="N61" s="1211">
        <v>2</v>
      </c>
      <c r="O61" s="1211"/>
      <c r="P61" s="1211">
        <v>1.88</v>
      </c>
      <c r="Q61" s="1214"/>
      <c r="U61" s="840">
        <f t="shared" si="15"/>
        <v>1</v>
      </c>
      <c r="V61" s="840">
        <f t="shared" si="16"/>
        <v>1</v>
      </c>
      <c r="W61" s="840">
        <f t="shared" si="17"/>
        <v>1</v>
      </c>
    </row>
    <row r="62" spans="1:23">
      <c r="A62" s="845">
        <v>3</v>
      </c>
      <c r="B62" s="844">
        <f t="shared" si="8"/>
        <v>849.83333333333337</v>
      </c>
      <c r="C62" s="844">
        <f t="shared" si="9"/>
        <v>849.83333333333337</v>
      </c>
      <c r="D62" s="844">
        <f t="shared" si="10"/>
        <v>849.83333333333337</v>
      </c>
      <c r="E62" s="844">
        <f t="shared" si="18"/>
        <v>849.65488888888865</v>
      </c>
      <c r="F62" s="844">
        <f t="shared" si="19"/>
        <v>849.12222222222204</v>
      </c>
      <c r="G62" s="844">
        <f t="shared" si="20"/>
        <v>848.58955555555542</v>
      </c>
      <c r="H62" s="844">
        <f t="shared" si="11"/>
        <v>0.5</v>
      </c>
      <c r="I62" s="844">
        <f t="shared" si="12"/>
        <v>0.5</v>
      </c>
      <c r="J62" s="844">
        <f t="shared" si="13"/>
        <v>0.5</v>
      </c>
      <c r="K62" s="844">
        <f t="shared" si="21"/>
        <v>0.72930000000000006</v>
      </c>
      <c r="L62" s="844">
        <f t="shared" si="14"/>
        <v>0.28333333333333338</v>
      </c>
      <c r="M62" s="844">
        <f t="shared" si="22"/>
        <v>0</v>
      </c>
      <c r="N62" s="1211">
        <v>3</v>
      </c>
      <c r="O62" s="1211"/>
      <c r="P62" s="1211">
        <v>1.0229999999999999</v>
      </c>
      <c r="Q62" s="1214"/>
      <c r="U62" s="840">
        <f t="shared" si="15"/>
        <v>1</v>
      </c>
      <c r="V62" s="840">
        <f t="shared" si="16"/>
        <v>1</v>
      </c>
      <c r="W62" s="840">
        <f t="shared" si="17"/>
        <v>1</v>
      </c>
    </row>
    <row r="63" spans="1:23">
      <c r="A63" s="845">
        <v>4</v>
      </c>
      <c r="B63" s="844">
        <f t="shared" si="8"/>
        <v>850</v>
      </c>
      <c r="C63" s="844">
        <f t="shared" si="9"/>
        <v>850</v>
      </c>
      <c r="D63" s="844">
        <f t="shared" si="10"/>
        <v>850</v>
      </c>
      <c r="E63" s="844">
        <f t="shared" si="18"/>
        <v>849.65488888888865</v>
      </c>
      <c r="F63" s="844">
        <f t="shared" si="19"/>
        <v>849.12222222222204</v>
      </c>
      <c r="G63" s="844">
        <f t="shared" si="20"/>
        <v>848.58955555555542</v>
      </c>
      <c r="H63" s="844">
        <f t="shared" si="11"/>
        <v>0</v>
      </c>
      <c r="I63" s="844">
        <f t="shared" si="12"/>
        <v>0</v>
      </c>
      <c r="J63" s="844">
        <f t="shared" si="13"/>
        <v>0</v>
      </c>
      <c r="K63" s="844">
        <f t="shared" si="21"/>
        <v>0.72930000000000006</v>
      </c>
      <c r="L63" s="844">
        <f t="shared" si="14"/>
        <v>0.28333333333333338</v>
      </c>
      <c r="M63" s="844">
        <f t="shared" si="22"/>
        <v>0</v>
      </c>
      <c r="N63" s="1211" t="s">
        <v>506</v>
      </c>
      <c r="O63" s="1211"/>
      <c r="P63" s="1212" t="s">
        <v>505</v>
      </c>
      <c r="Q63" s="1213"/>
      <c r="U63" s="840">
        <f t="shared" si="15"/>
        <v>1</v>
      </c>
      <c r="V63" s="840">
        <f t="shared" si="16"/>
        <v>1</v>
      </c>
      <c r="W63" s="840">
        <f t="shared" si="17"/>
        <v>1</v>
      </c>
    </row>
    <row r="64" spans="1:23">
      <c r="A64" s="845">
        <v>5</v>
      </c>
      <c r="B64" s="844">
        <f t="shared" si="8"/>
        <v>850.5</v>
      </c>
      <c r="C64" s="844">
        <f t="shared" si="9"/>
        <v>850.5</v>
      </c>
      <c r="D64" s="844">
        <f t="shared" si="10"/>
        <v>850.5</v>
      </c>
      <c r="E64" s="844">
        <f t="shared" si="18"/>
        <v>849.65488888888865</v>
      </c>
      <c r="F64" s="844">
        <f t="shared" si="19"/>
        <v>849.12222222222204</v>
      </c>
      <c r="G64" s="844">
        <f t="shared" si="20"/>
        <v>848.58955555555542</v>
      </c>
      <c r="H64" s="844">
        <f t="shared" si="11"/>
        <v>0</v>
      </c>
      <c r="I64" s="844">
        <f t="shared" si="12"/>
        <v>0</v>
      </c>
      <c r="J64" s="844">
        <f t="shared" si="13"/>
        <v>0</v>
      </c>
      <c r="K64" s="844">
        <f t="shared" si="21"/>
        <v>0.72930000000000006</v>
      </c>
      <c r="L64" s="844">
        <f t="shared" si="14"/>
        <v>0.28333333333333338</v>
      </c>
      <c r="M64" s="844">
        <f t="shared" si="22"/>
        <v>0</v>
      </c>
      <c r="N64" s="1211">
        <v>2</v>
      </c>
      <c r="O64" s="1211"/>
      <c r="P64" s="1211">
        <f>M24</f>
        <v>3.2679999999999998</v>
      </c>
      <c r="Q64" s="1214"/>
      <c r="U64" s="840">
        <f t="shared" si="15"/>
        <v>1</v>
      </c>
      <c r="V64" s="840">
        <f t="shared" si="16"/>
        <v>1</v>
      </c>
      <c r="W64" s="840">
        <f t="shared" si="17"/>
        <v>1</v>
      </c>
    </row>
    <row r="65" spans="1:23">
      <c r="A65" s="845">
        <v>6</v>
      </c>
      <c r="B65" s="844">
        <f t="shared" si="8"/>
        <v>850.33333333333337</v>
      </c>
      <c r="C65" s="844">
        <f t="shared" si="9"/>
        <v>850.33333333333337</v>
      </c>
      <c r="D65" s="844">
        <f t="shared" si="10"/>
        <v>850.33333333333337</v>
      </c>
      <c r="E65" s="844">
        <f t="shared" si="18"/>
        <v>849.65488888888865</v>
      </c>
      <c r="F65" s="844">
        <f t="shared" si="19"/>
        <v>849.12222222222204</v>
      </c>
      <c r="G65" s="844">
        <f t="shared" si="20"/>
        <v>848.58955555555542</v>
      </c>
      <c r="H65" s="844">
        <f t="shared" si="11"/>
        <v>0.5</v>
      </c>
      <c r="I65" s="844">
        <f t="shared" si="12"/>
        <v>0.5</v>
      </c>
      <c r="J65" s="844">
        <f t="shared" si="13"/>
        <v>0.5</v>
      </c>
      <c r="K65" s="844">
        <f t="shared" si="21"/>
        <v>0.72930000000000006</v>
      </c>
      <c r="L65" s="844">
        <f t="shared" si="14"/>
        <v>0.28333333333333338</v>
      </c>
      <c r="M65" s="844">
        <f t="shared" si="22"/>
        <v>0</v>
      </c>
      <c r="N65" s="1211">
        <v>3</v>
      </c>
      <c r="O65" s="1211"/>
      <c r="P65" s="1211">
        <f>L24</f>
        <v>2.5739999999999998</v>
      </c>
      <c r="Q65" s="1214"/>
      <c r="U65" s="840">
        <f t="shared" si="15"/>
        <v>1</v>
      </c>
      <c r="V65" s="840">
        <f t="shared" si="16"/>
        <v>1</v>
      </c>
      <c r="W65" s="840">
        <f t="shared" si="17"/>
        <v>1</v>
      </c>
    </row>
    <row r="66" spans="1:23">
      <c r="A66" s="845">
        <v>7</v>
      </c>
      <c r="B66" s="844">
        <f t="shared" si="8"/>
        <v>840</v>
      </c>
      <c r="C66" s="844">
        <f t="shared" si="9"/>
        <v>840</v>
      </c>
      <c r="D66" s="844">
        <f t="shared" si="10"/>
        <v>840</v>
      </c>
      <c r="E66" s="844">
        <f t="shared" si="18"/>
        <v>849.65488888888865</v>
      </c>
      <c r="F66" s="844">
        <f t="shared" si="19"/>
        <v>849.12222222222204</v>
      </c>
      <c r="G66" s="844">
        <f t="shared" si="20"/>
        <v>848.58955555555542</v>
      </c>
      <c r="H66" s="844">
        <f t="shared" si="11"/>
        <v>0</v>
      </c>
      <c r="I66" s="844">
        <f t="shared" si="12"/>
        <v>0</v>
      </c>
      <c r="J66" s="844">
        <f t="shared" si="13"/>
        <v>0</v>
      </c>
      <c r="K66" s="844">
        <f t="shared" si="21"/>
        <v>0.72930000000000006</v>
      </c>
      <c r="L66" s="844">
        <f t="shared" si="14"/>
        <v>0.28333333333333338</v>
      </c>
      <c r="M66" s="844">
        <f t="shared" si="22"/>
        <v>0</v>
      </c>
      <c r="N66" s="846" t="s">
        <v>504</v>
      </c>
      <c r="O66" s="842"/>
      <c r="P66" s="842"/>
      <c r="Q66" s="841"/>
      <c r="U66" s="840">
        <f t="shared" si="15"/>
        <v>1</v>
      </c>
      <c r="V66" s="840">
        <f t="shared" si="16"/>
        <v>1</v>
      </c>
      <c r="W66" s="840">
        <f t="shared" si="17"/>
        <v>1</v>
      </c>
    </row>
    <row r="67" spans="1:23">
      <c r="A67" s="845">
        <v>8</v>
      </c>
      <c r="B67" s="844">
        <f t="shared" si="8"/>
        <v>850.5</v>
      </c>
      <c r="C67" s="844">
        <f t="shared" si="9"/>
        <v>850.16666666666663</v>
      </c>
      <c r="D67" s="844">
        <f t="shared" si="10"/>
        <v>850.16666666666663</v>
      </c>
      <c r="E67" s="844">
        <f t="shared" si="18"/>
        <v>849.65488888888865</v>
      </c>
      <c r="F67" s="844">
        <f t="shared" si="19"/>
        <v>849.12222222222204</v>
      </c>
      <c r="G67" s="844">
        <f t="shared" si="20"/>
        <v>848.58955555555542</v>
      </c>
      <c r="H67" s="844">
        <f t="shared" si="11"/>
        <v>0</v>
      </c>
      <c r="I67" s="844">
        <f t="shared" si="12"/>
        <v>0.5</v>
      </c>
      <c r="J67" s="844">
        <f t="shared" si="13"/>
        <v>0.5</v>
      </c>
      <c r="K67" s="844">
        <f t="shared" si="21"/>
        <v>0.72930000000000006</v>
      </c>
      <c r="L67" s="844">
        <f t="shared" si="14"/>
        <v>0.28333333333333338</v>
      </c>
      <c r="M67" s="844">
        <f t="shared" si="22"/>
        <v>0</v>
      </c>
      <c r="N67" s="847">
        <f>SUM(U60:W69)</f>
        <v>30</v>
      </c>
      <c r="O67" s="842"/>
      <c r="P67" s="842"/>
      <c r="Q67" s="841"/>
      <c r="U67" s="840">
        <f t="shared" si="15"/>
        <v>1</v>
      </c>
      <c r="V67" s="840">
        <f t="shared" si="16"/>
        <v>1</v>
      </c>
      <c r="W67" s="840">
        <f t="shared" si="17"/>
        <v>1</v>
      </c>
    </row>
    <row r="68" spans="1:23">
      <c r="A68" s="845">
        <v>9</v>
      </c>
      <c r="B68" s="844">
        <f t="shared" si="8"/>
        <v>850.33333333333337</v>
      </c>
      <c r="C68" s="844">
        <f t="shared" si="9"/>
        <v>850.33333333333337</v>
      </c>
      <c r="D68" s="844">
        <f t="shared" si="10"/>
        <v>850.16666666666663</v>
      </c>
      <c r="E68" s="844">
        <f t="shared" si="18"/>
        <v>849.65488888888865</v>
      </c>
      <c r="F68" s="844">
        <f t="shared" si="19"/>
        <v>849.12222222222204</v>
      </c>
      <c r="G68" s="844">
        <f t="shared" si="20"/>
        <v>848.58955555555542</v>
      </c>
      <c r="H68" s="844">
        <f t="shared" si="11"/>
        <v>0.5</v>
      </c>
      <c r="I68" s="844">
        <f t="shared" si="12"/>
        <v>0.5</v>
      </c>
      <c r="J68" s="844">
        <f t="shared" si="13"/>
        <v>0.5</v>
      </c>
      <c r="K68" s="844">
        <f t="shared" si="21"/>
        <v>0.72930000000000006</v>
      </c>
      <c r="L68" s="844">
        <f t="shared" si="14"/>
        <v>0.28333333333333338</v>
      </c>
      <c r="M68" s="844">
        <f t="shared" si="22"/>
        <v>0</v>
      </c>
      <c r="N68" s="846" t="s">
        <v>503</v>
      </c>
      <c r="O68" s="842"/>
      <c r="P68" s="842"/>
      <c r="Q68" s="841"/>
      <c r="U68" s="840">
        <f t="shared" si="15"/>
        <v>1</v>
      </c>
      <c r="V68" s="840">
        <f t="shared" si="16"/>
        <v>1</v>
      </c>
      <c r="W68" s="840">
        <f t="shared" si="17"/>
        <v>1</v>
      </c>
    </row>
    <row r="69" spans="1:23">
      <c r="A69" s="845">
        <v>10</v>
      </c>
      <c r="B69" s="844">
        <f t="shared" si="8"/>
        <v>850.16666666666663</v>
      </c>
      <c r="C69" s="844">
        <f t="shared" si="9"/>
        <v>850.16666666666663</v>
      </c>
      <c r="D69" s="844">
        <f t="shared" si="10"/>
        <v>850.16666666666663</v>
      </c>
      <c r="E69" s="844">
        <f t="shared" si="18"/>
        <v>849.65488888888865</v>
      </c>
      <c r="F69" s="844">
        <f t="shared" si="19"/>
        <v>849.12222222222204</v>
      </c>
      <c r="G69" s="844">
        <f t="shared" si="20"/>
        <v>848.58955555555542</v>
      </c>
      <c r="H69" s="844">
        <f t="shared" si="11"/>
        <v>0.5</v>
      </c>
      <c r="I69" s="844">
        <f t="shared" si="12"/>
        <v>0.5</v>
      </c>
      <c r="J69" s="844">
        <f t="shared" si="13"/>
        <v>0.5</v>
      </c>
      <c r="K69" s="844">
        <f t="shared" si="21"/>
        <v>0.72930000000000006</v>
      </c>
      <c r="L69" s="844">
        <f t="shared" si="14"/>
        <v>0.28333333333333338</v>
      </c>
      <c r="M69" s="844">
        <f t="shared" si="22"/>
        <v>0</v>
      </c>
      <c r="N69" s="843">
        <f>N67/(I33*O33)</f>
        <v>1</v>
      </c>
      <c r="O69" s="842"/>
      <c r="P69" s="842"/>
      <c r="Q69" s="841"/>
      <c r="U69" s="840">
        <f t="shared" si="15"/>
        <v>1</v>
      </c>
      <c r="V69" s="840">
        <f t="shared" si="16"/>
        <v>1</v>
      </c>
      <c r="W69" s="840">
        <f t="shared" si="17"/>
        <v>1</v>
      </c>
    </row>
    <row r="70" spans="1:23">
      <c r="A70" s="825"/>
      <c r="B70" s="824"/>
      <c r="C70" s="824"/>
      <c r="D70" s="824"/>
      <c r="E70" s="824"/>
      <c r="F70" s="824"/>
      <c r="G70" s="824"/>
      <c r="H70" s="824"/>
      <c r="I70" s="824"/>
      <c r="J70" s="824"/>
      <c r="K70" s="824"/>
      <c r="L70" s="824"/>
      <c r="M70" s="824"/>
      <c r="N70" s="824"/>
      <c r="O70" s="824"/>
      <c r="P70" s="824"/>
      <c r="Q70" s="823"/>
    </row>
    <row r="71" spans="1:23">
      <c r="A71" s="825"/>
      <c r="B71" s="824"/>
      <c r="C71" s="824"/>
      <c r="D71" s="824"/>
      <c r="E71" s="824"/>
      <c r="F71" s="824"/>
      <c r="G71" s="824"/>
      <c r="H71" s="824"/>
      <c r="I71" s="824"/>
      <c r="J71" s="824"/>
      <c r="K71" s="824"/>
      <c r="L71" s="824"/>
      <c r="M71" s="824"/>
      <c r="N71" s="824"/>
      <c r="O71" s="824"/>
      <c r="P71" s="824"/>
      <c r="Q71" s="823"/>
    </row>
    <row r="72" spans="1:23">
      <c r="A72" s="825"/>
      <c r="B72" s="824"/>
      <c r="C72" s="824"/>
      <c r="D72" s="839"/>
      <c r="E72" s="824"/>
      <c r="F72" s="824"/>
      <c r="G72" s="824"/>
      <c r="H72" s="824"/>
      <c r="I72" s="824"/>
      <c r="J72" s="824"/>
      <c r="K72" s="824"/>
      <c r="L72" s="824"/>
      <c r="M72" s="824"/>
      <c r="N72" s="824"/>
      <c r="O72" s="824"/>
      <c r="P72" s="824"/>
      <c r="Q72" s="823"/>
    </row>
    <row r="73" spans="1:23">
      <c r="A73" s="825"/>
      <c r="B73" s="824"/>
      <c r="C73" s="824"/>
      <c r="D73" s="824"/>
      <c r="E73" s="824"/>
      <c r="F73" s="824"/>
      <c r="G73" s="824"/>
      <c r="H73" s="824"/>
      <c r="I73" s="824"/>
      <c r="J73" s="824"/>
      <c r="K73" s="824"/>
      <c r="L73" s="824"/>
      <c r="M73" s="824"/>
      <c r="N73" s="824"/>
      <c r="O73" s="824"/>
      <c r="P73" s="824"/>
      <c r="Q73" s="823"/>
    </row>
    <row r="74" spans="1:23">
      <c r="A74" s="825"/>
      <c r="B74" s="824"/>
      <c r="C74" s="824"/>
      <c r="D74" s="824"/>
      <c r="E74" s="824"/>
      <c r="F74" s="824"/>
      <c r="G74" s="824"/>
      <c r="H74" s="824"/>
      <c r="I74" s="824"/>
      <c r="J74" s="824"/>
      <c r="K74" s="824"/>
      <c r="L74" s="824"/>
      <c r="M74" s="824"/>
      <c r="N74" s="824"/>
      <c r="O74" s="824"/>
      <c r="P74" s="824"/>
      <c r="Q74" s="823"/>
    </row>
    <row r="75" spans="1:23">
      <c r="A75" s="825"/>
      <c r="B75" s="824"/>
      <c r="C75" s="824"/>
      <c r="D75" s="824"/>
      <c r="E75" s="824"/>
      <c r="F75" s="824"/>
      <c r="G75" s="824"/>
      <c r="H75" s="824"/>
      <c r="I75" s="824"/>
      <c r="J75" s="824"/>
      <c r="K75" s="824"/>
      <c r="L75" s="824"/>
      <c r="M75" s="824"/>
      <c r="N75" s="824"/>
      <c r="O75" s="824"/>
      <c r="P75" s="824"/>
      <c r="Q75" s="823"/>
    </row>
    <row r="76" spans="1:23">
      <c r="A76" s="825"/>
      <c r="B76" s="824"/>
      <c r="C76" s="824"/>
      <c r="D76" s="824"/>
      <c r="E76" s="824"/>
      <c r="F76" s="824"/>
      <c r="G76" s="824"/>
      <c r="H76" s="824"/>
      <c r="I76" s="824"/>
      <c r="J76" s="824"/>
      <c r="K76" s="824"/>
      <c r="L76" s="824"/>
      <c r="M76" s="824"/>
      <c r="N76" s="824"/>
      <c r="O76" s="824"/>
      <c r="P76" s="824"/>
      <c r="Q76" s="823"/>
    </row>
    <row r="77" spans="1:23">
      <c r="A77" s="825"/>
      <c r="B77" s="824"/>
      <c r="C77" s="824"/>
      <c r="D77" s="824"/>
      <c r="E77" s="824"/>
      <c r="F77" s="824"/>
      <c r="G77" s="824"/>
      <c r="H77" s="824"/>
      <c r="I77" s="824"/>
      <c r="J77" s="824"/>
      <c r="K77" s="824"/>
      <c r="L77" s="824"/>
      <c r="M77" s="824"/>
      <c r="N77" s="824"/>
      <c r="O77" s="824"/>
      <c r="P77" s="824"/>
      <c r="Q77" s="823"/>
    </row>
    <row r="78" spans="1:23">
      <c r="A78" s="825"/>
      <c r="B78" s="824"/>
      <c r="C78" s="824"/>
      <c r="D78" s="824"/>
      <c r="E78" s="824"/>
      <c r="F78" s="824"/>
      <c r="G78" s="824"/>
      <c r="H78" s="824"/>
      <c r="I78" s="824"/>
      <c r="J78" s="824"/>
      <c r="K78" s="824"/>
      <c r="L78" s="824"/>
      <c r="M78" s="824"/>
      <c r="N78" s="824"/>
      <c r="O78" s="824"/>
      <c r="P78" s="824"/>
      <c r="Q78" s="823"/>
    </row>
    <row r="79" spans="1:23">
      <c r="A79" s="825"/>
      <c r="B79" s="824"/>
      <c r="C79" s="824"/>
      <c r="D79" s="824"/>
      <c r="E79" s="824"/>
      <c r="F79" s="824"/>
      <c r="G79" s="824"/>
      <c r="H79" s="824"/>
      <c r="I79" s="824"/>
      <c r="J79" s="824"/>
      <c r="K79" s="824"/>
      <c r="L79" s="824"/>
      <c r="M79" s="824"/>
      <c r="N79" s="824"/>
      <c r="O79" s="824"/>
      <c r="P79" s="824"/>
      <c r="Q79" s="823"/>
    </row>
    <row r="80" spans="1:23">
      <c r="A80" s="825"/>
      <c r="B80" s="824"/>
      <c r="C80" s="824"/>
      <c r="D80" s="824"/>
      <c r="E80" s="824"/>
      <c r="F80" s="824"/>
      <c r="G80" s="824"/>
      <c r="H80" s="824"/>
      <c r="I80" s="824"/>
      <c r="J80" s="824"/>
      <c r="K80" s="824"/>
      <c r="L80" s="824"/>
      <c r="M80" s="824"/>
      <c r="N80" s="824"/>
      <c r="O80" s="824"/>
      <c r="P80" s="824"/>
      <c r="Q80" s="823"/>
    </row>
    <row r="81" spans="1:17">
      <c r="A81" s="825"/>
      <c r="B81" s="824"/>
      <c r="C81" s="824"/>
      <c r="D81" s="824"/>
      <c r="E81" s="824"/>
      <c r="F81" s="824"/>
      <c r="G81" s="824"/>
      <c r="H81" s="824"/>
      <c r="I81" s="824"/>
      <c r="J81" s="824"/>
      <c r="K81" s="824"/>
      <c r="L81" s="824"/>
      <c r="M81" s="824"/>
      <c r="N81" s="824"/>
      <c r="O81" s="824"/>
      <c r="P81" s="824"/>
      <c r="Q81" s="823"/>
    </row>
    <row r="82" spans="1:17">
      <c r="A82" s="825"/>
      <c r="B82" s="824"/>
      <c r="C82" s="824"/>
      <c r="D82" s="824"/>
      <c r="E82" s="824"/>
      <c r="F82" s="824"/>
      <c r="G82" s="824"/>
      <c r="H82" s="824"/>
      <c r="I82" s="824"/>
      <c r="J82" s="824"/>
      <c r="K82" s="824"/>
      <c r="L82" s="824"/>
      <c r="M82" s="824"/>
      <c r="N82" s="824"/>
      <c r="O82" s="824"/>
      <c r="P82" s="824"/>
      <c r="Q82" s="823"/>
    </row>
    <row r="83" spans="1:17">
      <c r="A83" s="825"/>
      <c r="B83" s="824"/>
      <c r="C83" s="824"/>
      <c r="D83" s="824"/>
      <c r="E83" s="824"/>
      <c r="F83" s="824"/>
      <c r="G83" s="824"/>
      <c r="H83" s="824"/>
      <c r="I83" s="824"/>
      <c r="J83" s="824"/>
      <c r="K83" s="824"/>
      <c r="L83" s="824"/>
      <c r="M83" s="824"/>
      <c r="N83" s="824"/>
      <c r="O83" s="824"/>
      <c r="P83" s="824"/>
      <c r="Q83" s="823"/>
    </row>
    <row r="84" spans="1:17">
      <c r="A84" s="825"/>
      <c r="B84" s="824"/>
      <c r="C84" s="824"/>
      <c r="D84" s="824"/>
      <c r="E84" s="824"/>
      <c r="F84" s="824"/>
      <c r="G84" s="824"/>
      <c r="H84" s="824"/>
      <c r="I84" s="824"/>
      <c r="J84" s="824"/>
      <c r="K84" s="824"/>
      <c r="L84" s="824"/>
      <c r="M84" s="824"/>
      <c r="N84" s="824"/>
      <c r="O84" s="824"/>
      <c r="P84" s="824"/>
      <c r="Q84" s="823"/>
    </row>
    <row r="85" spans="1:17">
      <c r="A85" s="825"/>
      <c r="B85" s="824"/>
      <c r="C85" s="824"/>
      <c r="D85" s="824"/>
      <c r="E85" s="824"/>
      <c r="F85" s="824"/>
      <c r="G85" s="824"/>
      <c r="H85" s="824"/>
      <c r="I85" s="824"/>
      <c r="J85" s="824"/>
      <c r="K85" s="824"/>
      <c r="L85" s="824"/>
      <c r="M85" s="824"/>
      <c r="N85" s="824"/>
      <c r="O85" s="824"/>
      <c r="P85" s="824"/>
      <c r="Q85" s="823"/>
    </row>
    <row r="86" spans="1:17" ht="7.5" customHeight="1">
      <c r="A86" s="825"/>
      <c r="B86" s="824"/>
      <c r="C86" s="824"/>
      <c r="D86" s="824"/>
      <c r="E86" s="824"/>
      <c r="F86" s="824"/>
      <c r="G86" s="824"/>
      <c r="H86" s="824"/>
      <c r="I86" s="824"/>
      <c r="J86" s="824"/>
      <c r="K86" s="824"/>
      <c r="L86" s="824"/>
      <c r="M86" s="824"/>
      <c r="N86" s="824"/>
      <c r="O86" s="824"/>
      <c r="P86" s="824"/>
      <c r="Q86" s="823"/>
    </row>
    <row r="87" spans="1:17">
      <c r="A87" s="836"/>
      <c r="B87" s="838" t="s">
        <v>502</v>
      </c>
      <c r="C87" s="837" t="s">
        <v>501</v>
      </c>
      <c r="D87" s="824"/>
      <c r="E87" s="824"/>
      <c r="F87" s="824"/>
      <c r="G87" s="824"/>
      <c r="H87" s="824"/>
      <c r="I87" s="824"/>
      <c r="J87" s="824"/>
      <c r="K87" s="824"/>
      <c r="L87" s="824"/>
      <c r="M87" s="824"/>
      <c r="N87" s="824"/>
      <c r="O87" s="824"/>
      <c r="P87" s="824"/>
      <c r="Q87" s="823"/>
    </row>
    <row r="88" spans="1:17" ht="12.75" customHeight="1">
      <c r="A88" s="836"/>
      <c r="B88" s="835"/>
      <c r="C88" s="1226" t="s">
        <v>500</v>
      </c>
      <c r="D88" s="1226"/>
      <c r="E88" s="1226"/>
      <c r="F88" s="1226"/>
      <c r="G88" s="1226"/>
      <c r="H88" s="1226"/>
      <c r="I88" s="1226"/>
      <c r="J88" s="1226"/>
      <c r="K88" s="1226"/>
      <c r="L88" s="1226"/>
      <c r="M88" s="1226"/>
      <c r="N88" s="1226"/>
      <c r="O88" s="1226"/>
      <c r="P88" s="1226"/>
      <c r="Q88" s="834"/>
    </row>
    <row r="89" spans="1:17" ht="13.5" thickBot="1">
      <c r="A89" s="822"/>
      <c r="B89" s="833"/>
      <c r="C89" s="1227"/>
      <c r="D89" s="1227"/>
      <c r="E89" s="1227"/>
      <c r="F89" s="1227"/>
      <c r="G89" s="1227"/>
      <c r="H89" s="1227"/>
      <c r="I89" s="1227"/>
      <c r="J89" s="1227"/>
      <c r="K89" s="1227"/>
      <c r="L89" s="1227"/>
      <c r="M89" s="1227"/>
      <c r="N89" s="1227"/>
      <c r="O89" s="1227"/>
      <c r="P89" s="1227"/>
      <c r="Q89" s="832"/>
    </row>
    <row r="90" spans="1:17" ht="8.25" customHeight="1">
      <c r="A90" s="831"/>
      <c r="B90" s="830"/>
      <c r="C90" s="830"/>
      <c r="D90" s="830"/>
      <c r="E90" s="830"/>
      <c r="F90" s="830"/>
      <c r="G90" s="830"/>
      <c r="H90" s="830"/>
      <c r="I90" s="830"/>
      <c r="J90" s="830"/>
      <c r="K90" s="830"/>
      <c r="L90" s="830"/>
      <c r="M90" s="830"/>
      <c r="N90" s="830"/>
      <c r="O90" s="830"/>
      <c r="P90" s="830"/>
      <c r="Q90" s="829"/>
    </row>
    <row r="91" spans="1:17">
      <c r="A91" s="825"/>
      <c r="B91" s="824"/>
      <c r="C91" s="824"/>
      <c r="D91" s="824"/>
      <c r="E91" s="824"/>
      <c r="F91" s="824"/>
      <c r="G91" s="824"/>
      <c r="H91" s="824"/>
      <c r="I91" s="824"/>
      <c r="J91" s="824"/>
      <c r="K91" s="824"/>
      <c r="L91" s="824"/>
      <c r="M91" s="824"/>
      <c r="N91" s="824"/>
      <c r="O91" s="824"/>
      <c r="P91" s="824"/>
      <c r="Q91" s="823"/>
    </row>
    <row r="92" spans="1:17">
      <c r="A92" s="825"/>
      <c r="B92" s="824"/>
      <c r="C92" s="824"/>
      <c r="D92" s="824"/>
      <c r="E92" s="824"/>
      <c r="F92" s="824"/>
      <c r="G92" s="824"/>
      <c r="H92" s="824"/>
      <c r="I92" s="824"/>
      <c r="J92" s="824"/>
      <c r="K92" s="824"/>
      <c r="L92" s="824"/>
      <c r="M92" s="824"/>
      <c r="N92" s="824"/>
      <c r="O92" s="824"/>
      <c r="P92" s="824"/>
      <c r="Q92" s="823"/>
    </row>
    <row r="93" spans="1:17">
      <c r="A93" s="825"/>
      <c r="B93" s="824"/>
      <c r="C93" s="824"/>
      <c r="D93" s="824"/>
      <c r="E93" s="824"/>
      <c r="F93" s="824"/>
      <c r="G93" s="824"/>
      <c r="H93" s="824"/>
      <c r="I93" s="824"/>
      <c r="J93" s="824"/>
      <c r="K93" s="824"/>
      <c r="L93" s="824"/>
      <c r="M93" s="824"/>
      <c r="N93" s="824"/>
      <c r="O93" s="824"/>
      <c r="P93" s="824"/>
      <c r="Q93" s="823"/>
    </row>
    <row r="94" spans="1:17">
      <c r="A94" s="825"/>
      <c r="B94" s="824"/>
      <c r="C94" s="824"/>
      <c r="D94" s="824"/>
      <c r="E94" s="824"/>
      <c r="F94" s="824"/>
      <c r="G94" s="824"/>
      <c r="H94" s="824"/>
      <c r="I94" s="824"/>
      <c r="J94" s="824"/>
      <c r="K94" s="824"/>
      <c r="L94" s="824"/>
      <c r="M94" s="824"/>
      <c r="N94" s="824"/>
      <c r="O94" s="824"/>
      <c r="P94" s="824"/>
      <c r="Q94" s="823"/>
    </row>
    <row r="95" spans="1:17">
      <c r="A95" s="825"/>
      <c r="B95" s="824"/>
      <c r="C95" s="824"/>
      <c r="D95" s="824"/>
      <c r="E95" s="824"/>
      <c r="F95" s="824"/>
      <c r="G95" s="824"/>
      <c r="H95" s="824"/>
      <c r="I95" s="824"/>
      <c r="J95" s="824"/>
      <c r="K95" s="824"/>
      <c r="L95" s="824"/>
      <c r="M95" s="824"/>
      <c r="N95" s="824"/>
      <c r="O95" s="824"/>
      <c r="P95" s="824"/>
      <c r="Q95" s="823"/>
    </row>
    <row r="96" spans="1:17">
      <c r="A96" s="825"/>
      <c r="B96" s="824"/>
      <c r="C96" s="824"/>
      <c r="D96" s="824"/>
      <c r="E96" s="824"/>
      <c r="F96" s="824"/>
      <c r="G96" s="824"/>
      <c r="H96" s="824"/>
      <c r="I96" s="824"/>
      <c r="J96" s="824"/>
      <c r="K96" s="824"/>
      <c r="L96" s="824"/>
      <c r="M96" s="824"/>
      <c r="N96" s="824"/>
      <c r="O96" s="824"/>
      <c r="P96" s="824"/>
      <c r="Q96" s="823"/>
    </row>
    <row r="97" spans="1:17">
      <c r="A97" s="825"/>
      <c r="B97" s="824"/>
      <c r="C97" s="824"/>
      <c r="D97" s="824"/>
      <c r="E97" s="824"/>
      <c r="F97" s="824"/>
      <c r="G97" s="824"/>
      <c r="H97" s="824"/>
      <c r="I97" s="824"/>
      <c r="J97" s="824"/>
      <c r="K97" s="824"/>
      <c r="L97" s="824"/>
      <c r="M97" s="824"/>
      <c r="N97" s="824"/>
      <c r="O97" s="824"/>
      <c r="P97" s="824"/>
      <c r="Q97" s="823"/>
    </row>
    <row r="98" spans="1:17">
      <c r="A98" s="825"/>
      <c r="B98" s="824"/>
      <c r="C98" s="824"/>
      <c r="D98" s="824"/>
      <c r="E98" s="824"/>
      <c r="F98" s="824"/>
      <c r="G98" s="824"/>
      <c r="H98" s="824"/>
      <c r="I98" s="824"/>
      <c r="J98" s="824"/>
      <c r="K98" s="824"/>
      <c r="L98" s="824"/>
      <c r="M98" s="824"/>
      <c r="N98" s="824"/>
      <c r="O98" s="824"/>
      <c r="P98" s="824"/>
      <c r="Q98" s="823"/>
    </row>
    <row r="99" spans="1:17">
      <c r="A99" s="825"/>
      <c r="B99" s="824"/>
      <c r="C99" s="824"/>
      <c r="D99" s="824"/>
      <c r="E99" s="824"/>
      <c r="F99" s="824"/>
      <c r="G99" s="824"/>
      <c r="H99" s="824"/>
      <c r="I99" s="824"/>
      <c r="J99" s="824"/>
      <c r="K99" s="824"/>
      <c r="L99" s="824"/>
      <c r="M99" s="824"/>
      <c r="N99" s="824"/>
      <c r="O99" s="824"/>
      <c r="P99" s="824"/>
      <c r="Q99" s="823"/>
    </row>
    <row r="100" spans="1:17">
      <c r="A100" s="825"/>
      <c r="B100" s="824"/>
      <c r="C100" s="824"/>
      <c r="D100" s="824"/>
      <c r="E100" s="824"/>
      <c r="F100" s="824"/>
      <c r="G100" s="824"/>
      <c r="H100" s="824"/>
      <c r="I100" s="824"/>
      <c r="J100" s="824"/>
      <c r="K100" s="824"/>
      <c r="L100" s="824"/>
      <c r="M100" s="824"/>
      <c r="N100" s="824"/>
      <c r="O100" s="824"/>
      <c r="P100" s="824"/>
      <c r="Q100" s="823"/>
    </row>
    <row r="101" spans="1:17">
      <c r="A101" s="825"/>
      <c r="B101" s="824"/>
      <c r="C101" s="824"/>
      <c r="D101" s="824"/>
      <c r="E101" s="824"/>
      <c r="F101" s="824"/>
      <c r="G101" s="824"/>
      <c r="H101" s="824"/>
      <c r="I101" s="824"/>
      <c r="J101" s="824"/>
      <c r="K101" s="824"/>
      <c r="L101" s="824"/>
      <c r="M101" s="824"/>
      <c r="N101" s="824"/>
      <c r="O101" s="824"/>
      <c r="P101" s="824"/>
      <c r="Q101" s="823"/>
    </row>
    <row r="102" spans="1:17">
      <c r="A102" s="825"/>
      <c r="B102" s="824"/>
      <c r="C102" s="824"/>
      <c r="D102" s="824"/>
      <c r="E102" s="824"/>
      <c r="F102" s="824"/>
      <c r="G102" s="824"/>
      <c r="H102" s="824"/>
      <c r="I102" s="824"/>
      <c r="J102" s="824"/>
      <c r="K102" s="824"/>
      <c r="L102" s="824"/>
      <c r="M102" s="824"/>
      <c r="N102" s="824"/>
      <c r="O102" s="824"/>
      <c r="P102" s="824"/>
      <c r="Q102" s="823"/>
    </row>
    <row r="103" spans="1:17">
      <c r="A103" s="825"/>
      <c r="B103" s="824"/>
      <c r="C103" s="824"/>
      <c r="D103" s="824"/>
      <c r="E103" s="824"/>
      <c r="F103" s="824"/>
      <c r="G103" s="824"/>
      <c r="H103" s="824"/>
      <c r="I103" s="824"/>
      <c r="J103" s="824"/>
      <c r="K103" s="824"/>
      <c r="L103" s="824"/>
      <c r="M103" s="824"/>
      <c r="N103" s="824"/>
      <c r="O103" s="824"/>
      <c r="P103" s="824"/>
      <c r="Q103" s="823"/>
    </row>
    <row r="104" spans="1:17">
      <c r="A104" s="825"/>
      <c r="B104" s="824"/>
      <c r="C104" s="824"/>
      <c r="D104" s="824"/>
      <c r="E104" s="824"/>
      <c r="F104" s="824"/>
      <c r="G104" s="824"/>
      <c r="H104" s="824"/>
      <c r="I104" s="824"/>
      <c r="J104" s="824"/>
      <c r="K104" s="824"/>
      <c r="L104" s="824"/>
      <c r="M104" s="824"/>
      <c r="N104" s="824"/>
      <c r="O104" s="824"/>
      <c r="P104" s="824"/>
      <c r="Q104" s="823"/>
    </row>
    <row r="105" spans="1:17">
      <c r="A105" s="825"/>
      <c r="B105" s="824"/>
      <c r="C105" s="824"/>
      <c r="D105" s="824"/>
      <c r="E105" s="824"/>
      <c r="F105" s="824"/>
      <c r="G105" s="824"/>
      <c r="H105" s="824"/>
      <c r="I105" s="824"/>
      <c r="J105" s="824"/>
      <c r="K105" s="824"/>
      <c r="L105" s="824"/>
      <c r="M105" s="824"/>
      <c r="N105" s="824"/>
      <c r="O105" s="824"/>
      <c r="P105" s="824"/>
      <c r="Q105" s="823"/>
    </row>
    <row r="106" spans="1:17">
      <c r="A106" s="825"/>
      <c r="B106" s="824"/>
      <c r="C106" s="824"/>
      <c r="D106" s="824"/>
      <c r="E106" s="824"/>
      <c r="F106" s="824"/>
      <c r="G106" s="824"/>
      <c r="H106" s="824"/>
      <c r="I106" s="824"/>
      <c r="J106" s="824"/>
      <c r="K106" s="824"/>
      <c r="L106" s="824"/>
      <c r="M106" s="824"/>
      <c r="N106" s="824"/>
      <c r="O106" s="824"/>
      <c r="P106" s="824"/>
      <c r="Q106" s="823"/>
    </row>
    <row r="107" spans="1:17">
      <c r="A107" s="825"/>
      <c r="B107" s="824"/>
      <c r="C107" s="824"/>
      <c r="D107" s="824"/>
      <c r="E107" s="824"/>
      <c r="F107" s="824"/>
      <c r="G107" s="824"/>
      <c r="H107" s="824"/>
      <c r="I107" s="824"/>
      <c r="J107" s="824"/>
      <c r="K107" s="824"/>
      <c r="L107" s="824"/>
      <c r="M107" s="824"/>
      <c r="N107" s="824"/>
      <c r="O107" s="824"/>
      <c r="P107" s="824"/>
      <c r="Q107" s="823"/>
    </row>
    <row r="108" spans="1:17">
      <c r="A108" s="825"/>
      <c r="B108" s="824"/>
      <c r="C108" s="824"/>
      <c r="D108" s="824"/>
      <c r="E108" s="824"/>
      <c r="F108" s="824"/>
      <c r="G108" s="824"/>
      <c r="H108" s="824"/>
      <c r="I108" s="824"/>
      <c r="J108" s="824"/>
      <c r="K108" s="824"/>
      <c r="L108" s="824"/>
      <c r="M108" s="824"/>
      <c r="N108" s="824"/>
      <c r="O108" s="824"/>
      <c r="P108" s="824"/>
      <c r="Q108" s="823"/>
    </row>
    <row r="109" spans="1:17">
      <c r="A109" s="825"/>
      <c r="B109" s="824"/>
      <c r="C109" s="824"/>
      <c r="D109" s="824"/>
      <c r="E109" s="824"/>
      <c r="F109" s="824"/>
      <c r="G109" s="824"/>
      <c r="H109" s="824"/>
      <c r="I109" s="824"/>
      <c r="J109" s="824"/>
      <c r="K109" s="824"/>
      <c r="L109" s="824"/>
      <c r="M109" s="824"/>
      <c r="N109" s="824"/>
      <c r="O109" s="824"/>
      <c r="P109" s="824"/>
      <c r="Q109" s="823"/>
    </row>
    <row r="110" spans="1:17">
      <c r="A110" s="825"/>
      <c r="B110" s="824"/>
      <c r="C110" s="824"/>
      <c r="D110" s="824"/>
      <c r="E110" s="824"/>
      <c r="F110" s="824"/>
      <c r="G110" s="824"/>
      <c r="H110" s="824"/>
      <c r="I110" s="824"/>
      <c r="J110" s="824"/>
      <c r="K110" s="824"/>
      <c r="L110" s="824"/>
      <c r="M110" s="824"/>
      <c r="N110" s="824"/>
      <c r="O110" s="824"/>
      <c r="P110" s="824"/>
      <c r="Q110" s="823"/>
    </row>
    <row r="111" spans="1:17">
      <c r="A111" s="825"/>
      <c r="B111" s="824"/>
      <c r="C111" s="824"/>
      <c r="D111" s="824"/>
      <c r="E111" s="824"/>
      <c r="F111" s="824"/>
      <c r="G111" s="824"/>
      <c r="H111" s="824"/>
      <c r="I111" s="824"/>
      <c r="J111" s="824"/>
      <c r="K111" s="824"/>
      <c r="L111" s="824"/>
      <c r="M111" s="824"/>
      <c r="N111" s="824"/>
      <c r="O111" s="824"/>
      <c r="P111" s="824"/>
      <c r="Q111" s="823"/>
    </row>
    <row r="112" spans="1:17">
      <c r="A112" s="825"/>
      <c r="B112" s="824"/>
      <c r="C112" s="824"/>
      <c r="D112" s="824"/>
      <c r="E112" s="824"/>
      <c r="F112" s="824"/>
      <c r="G112" s="824"/>
      <c r="H112" s="824"/>
      <c r="I112" s="824"/>
      <c r="J112" s="824"/>
      <c r="K112" s="824"/>
      <c r="L112" s="824"/>
      <c r="M112" s="824"/>
      <c r="N112" s="824"/>
      <c r="O112" s="824"/>
      <c r="P112" s="824"/>
      <c r="Q112" s="823"/>
    </row>
    <row r="113" spans="1:28">
      <c r="A113" s="825"/>
      <c r="B113" s="824"/>
      <c r="C113" s="824"/>
      <c r="D113" s="824"/>
      <c r="E113" s="824"/>
      <c r="F113" s="824"/>
      <c r="G113" s="824"/>
      <c r="H113" s="824"/>
      <c r="I113" s="824"/>
      <c r="J113" s="824"/>
      <c r="K113" s="824"/>
      <c r="L113" s="824"/>
      <c r="M113" s="824"/>
      <c r="N113" s="824"/>
      <c r="O113" s="824"/>
      <c r="P113" s="824"/>
      <c r="Q113" s="823"/>
    </row>
    <row r="114" spans="1:28">
      <c r="A114" s="825"/>
      <c r="B114" s="824"/>
      <c r="C114" s="824"/>
      <c r="D114" s="824"/>
      <c r="E114" s="824"/>
      <c r="F114" s="824"/>
      <c r="G114" s="824"/>
      <c r="H114" s="824"/>
      <c r="I114" s="824"/>
      <c r="J114" s="824"/>
      <c r="K114" s="824"/>
      <c r="L114" s="824"/>
      <c r="M114" s="824"/>
      <c r="N114" s="824"/>
      <c r="O114" s="824"/>
      <c r="P114" s="824"/>
      <c r="Q114" s="823"/>
    </row>
    <row r="115" spans="1:28">
      <c r="A115" s="825"/>
      <c r="B115" s="824"/>
      <c r="C115" s="824"/>
      <c r="D115" s="824"/>
      <c r="E115" s="824"/>
      <c r="F115" s="824"/>
      <c r="G115" s="824"/>
      <c r="H115" s="824"/>
      <c r="I115" s="824"/>
      <c r="J115" s="824"/>
      <c r="K115" s="824"/>
      <c r="L115" s="824"/>
      <c r="M115" s="824"/>
      <c r="N115" s="824"/>
      <c r="O115" s="824"/>
      <c r="P115" s="824"/>
      <c r="Q115" s="823"/>
    </row>
    <row r="116" spans="1:28">
      <c r="A116" s="825"/>
      <c r="B116" s="824"/>
      <c r="C116" s="824"/>
      <c r="D116" s="824"/>
      <c r="E116" s="824"/>
      <c r="F116" s="824"/>
      <c r="G116" s="824"/>
      <c r="H116" s="824"/>
      <c r="I116" s="824"/>
      <c r="J116" s="824"/>
      <c r="K116" s="824"/>
      <c r="L116" s="824"/>
      <c r="M116" s="824"/>
      <c r="N116" s="824"/>
      <c r="O116" s="824"/>
      <c r="P116" s="824"/>
      <c r="Q116" s="823"/>
    </row>
    <row r="117" spans="1:28">
      <c r="A117" s="825"/>
      <c r="B117" s="824"/>
      <c r="C117" s="824"/>
      <c r="D117" s="824"/>
      <c r="E117" s="824"/>
      <c r="F117" s="824"/>
      <c r="G117" s="824"/>
      <c r="H117" s="824"/>
      <c r="I117" s="824"/>
      <c r="J117" s="824"/>
      <c r="K117" s="824"/>
      <c r="L117" s="824"/>
      <c r="M117" s="824"/>
      <c r="N117" s="824"/>
      <c r="O117" s="824"/>
      <c r="P117" s="824"/>
      <c r="Q117" s="823"/>
    </row>
    <row r="118" spans="1:28">
      <c r="A118" s="825"/>
      <c r="B118" s="824"/>
      <c r="C118" s="824"/>
      <c r="D118" s="824"/>
      <c r="E118" s="824"/>
      <c r="F118" s="824"/>
      <c r="G118" s="824"/>
      <c r="H118" s="824"/>
      <c r="I118" s="824"/>
      <c r="J118" s="824"/>
      <c r="K118" s="824"/>
      <c r="L118" s="824"/>
      <c r="M118" s="824"/>
      <c r="N118" s="824"/>
      <c r="O118" s="824"/>
      <c r="P118" s="824"/>
      <c r="Q118" s="823"/>
    </row>
    <row r="119" spans="1:28">
      <c r="A119" s="825"/>
      <c r="B119" s="824"/>
      <c r="C119" s="824"/>
      <c r="D119" s="824"/>
      <c r="E119" s="824"/>
      <c r="F119" s="824"/>
      <c r="G119" s="824"/>
      <c r="H119" s="824"/>
      <c r="I119" s="824"/>
      <c r="J119" s="824"/>
      <c r="K119" s="824"/>
      <c r="L119" s="824"/>
      <c r="M119" s="824"/>
      <c r="N119" s="824"/>
      <c r="O119" s="824"/>
      <c r="P119" s="824"/>
      <c r="Q119" s="823"/>
    </row>
    <row r="120" spans="1:28">
      <c r="A120" s="825"/>
      <c r="B120" s="824"/>
      <c r="C120" s="824"/>
      <c r="D120" s="824"/>
      <c r="E120" s="824"/>
      <c r="F120" s="824"/>
      <c r="G120" s="824"/>
      <c r="H120" s="824"/>
      <c r="I120" s="824"/>
      <c r="J120" s="824"/>
      <c r="K120" s="824"/>
      <c r="L120" s="824"/>
      <c r="M120" s="824"/>
      <c r="N120" s="824"/>
      <c r="O120" s="824"/>
      <c r="P120" s="824"/>
      <c r="Q120" s="823"/>
    </row>
    <row r="121" spans="1:28">
      <c r="A121" s="825"/>
      <c r="B121" s="824"/>
      <c r="C121" s="824"/>
      <c r="D121" s="824"/>
      <c r="E121" s="824"/>
      <c r="F121" s="824"/>
      <c r="G121" s="824"/>
      <c r="H121" s="824"/>
      <c r="I121" s="824"/>
      <c r="J121" s="824"/>
      <c r="K121" s="824"/>
      <c r="L121" s="824"/>
      <c r="M121" s="824"/>
      <c r="N121" s="824"/>
      <c r="O121" s="824"/>
      <c r="P121" s="824"/>
      <c r="Q121" s="823"/>
    </row>
    <row r="122" spans="1:28" ht="13.5" thickBot="1">
      <c r="A122" s="822"/>
      <c r="B122" s="821"/>
      <c r="C122" s="821"/>
      <c r="D122" s="821"/>
      <c r="E122" s="821"/>
      <c r="F122" s="821"/>
      <c r="G122" s="821"/>
      <c r="H122" s="821"/>
      <c r="I122" s="821"/>
      <c r="J122" s="821"/>
      <c r="K122" s="821"/>
      <c r="L122" s="821"/>
      <c r="M122" s="821"/>
      <c r="N122" s="821"/>
      <c r="O122" s="821"/>
      <c r="P122" s="821"/>
      <c r="Q122" s="820"/>
    </row>
    <row r="123" spans="1:28" ht="13.5" thickBot="1"/>
    <row r="124" spans="1:28">
      <c r="A124" s="831"/>
      <c r="B124" s="830"/>
      <c r="C124" s="830"/>
      <c r="D124" s="830"/>
      <c r="E124" s="830"/>
      <c r="F124" s="830"/>
      <c r="G124" s="830"/>
      <c r="H124" s="830"/>
      <c r="I124" s="830"/>
      <c r="J124" s="830"/>
      <c r="K124" s="830"/>
      <c r="L124" s="830"/>
      <c r="M124" s="830"/>
      <c r="N124" s="830"/>
      <c r="O124" s="830"/>
      <c r="P124" s="830"/>
      <c r="Q124" s="829"/>
      <c r="T124" s="827" t="s">
        <v>499</v>
      </c>
      <c r="U124" s="828" t="s">
        <v>433</v>
      </c>
      <c r="V124" s="827" t="s">
        <v>498</v>
      </c>
      <c r="W124" s="827"/>
      <c r="X124" s="827"/>
      <c r="Y124" s="828"/>
      <c r="Z124" s="827"/>
      <c r="AA124" s="827"/>
      <c r="AB124" s="827"/>
    </row>
    <row r="125" spans="1:28">
      <c r="A125" s="826" t="s">
        <v>497</v>
      </c>
      <c r="B125" s="824"/>
      <c r="C125" s="824"/>
      <c r="D125" s="824"/>
      <c r="E125" s="824"/>
      <c r="F125" s="824"/>
      <c r="G125" s="824"/>
      <c r="H125" s="824"/>
      <c r="I125" s="824"/>
      <c r="J125" s="824"/>
      <c r="K125" s="824"/>
      <c r="L125" s="824"/>
      <c r="M125" s="824"/>
      <c r="N125" s="824"/>
      <c r="O125" s="824"/>
      <c r="P125" s="824"/>
      <c r="Q125" s="823"/>
      <c r="S125" s="1228" t="s">
        <v>496</v>
      </c>
      <c r="T125" s="819">
        <v>1</v>
      </c>
      <c r="U125" s="817">
        <f t="shared" ref="U125:U134" si="23">MIN(B10:D10)</f>
        <v>850</v>
      </c>
      <c r="V125" s="818">
        <f t="shared" ref="V125:V134" si="24">E10</f>
        <v>0</v>
      </c>
      <c r="W125" s="818"/>
      <c r="X125" s="817"/>
      <c r="Y125" s="817"/>
      <c r="Z125" s="817"/>
      <c r="AA125" s="817"/>
      <c r="AB125" s="817"/>
    </row>
    <row r="126" spans="1:28">
      <c r="A126" s="825"/>
      <c r="B126" s="824"/>
      <c r="C126" s="824"/>
      <c r="D126" s="824"/>
      <c r="E126" s="824"/>
      <c r="F126" s="824"/>
      <c r="G126" s="824"/>
      <c r="H126" s="824"/>
      <c r="I126" s="824"/>
      <c r="J126" s="824"/>
      <c r="K126" s="824"/>
      <c r="L126" s="824"/>
      <c r="M126" s="824"/>
      <c r="N126" s="824"/>
      <c r="O126" s="824"/>
      <c r="P126" s="824"/>
      <c r="Q126" s="823"/>
      <c r="S126" s="1229"/>
      <c r="T126" s="819">
        <v>2</v>
      </c>
      <c r="U126" s="817">
        <f t="shared" si="23"/>
        <v>849.5</v>
      </c>
      <c r="V126" s="818">
        <f t="shared" si="24"/>
        <v>0.5</v>
      </c>
      <c r="W126" s="818"/>
      <c r="X126" s="817"/>
      <c r="Y126" s="817"/>
      <c r="Z126" s="817"/>
      <c r="AA126" s="817"/>
      <c r="AB126" s="817"/>
    </row>
    <row r="127" spans="1:28">
      <c r="A127" s="825"/>
      <c r="B127" s="824"/>
      <c r="C127" s="824"/>
      <c r="D127" s="824"/>
      <c r="E127" s="824"/>
      <c r="F127" s="824"/>
      <c r="G127" s="824"/>
      <c r="H127" s="824"/>
      <c r="I127" s="824"/>
      <c r="J127" s="824"/>
      <c r="K127" s="824"/>
      <c r="L127" s="824"/>
      <c r="M127" s="824"/>
      <c r="N127" s="824"/>
      <c r="O127" s="824"/>
      <c r="P127" s="824"/>
      <c r="Q127" s="823"/>
      <c r="S127" s="1229"/>
      <c r="T127" s="819">
        <v>3</v>
      </c>
      <c r="U127" s="817">
        <f t="shared" si="23"/>
        <v>849.5</v>
      </c>
      <c r="V127" s="818">
        <f t="shared" si="24"/>
        <v>0.5</v>
      </c>
      <c r="W127" s="818"/>
      <c r="X127" s="817"/>
      <c r="Y127" s="817"/>
      <c r="Z127" s="817"/>
      <c r="AA127" s="817"/>
      <c r="AB127" s="817"/>
    </row>
    <row r="128" spans="1:28">
      <c r="A128" s="825"/>
      <c r="B128" s="824"/>
      <c r="C128" s="824"/>
      <c r="D128" s="824"/>
      <c r="E128" s="824"/>
      <c r="F128" s="824"/>
      <c r="G128" s="824"/>
      <c r="H128" s="824"/>
      <c r="I128" s="824"/>
      <c r="J128" s="824"/>
      <c r="K128" s="824"/>
      <c r="L128" s="824"/>
      <c r="M128" s="824"/>
      <c r="N128" s="824"/>
      <c r="O128" s="824"/>
      <c r="P128" s="824"/>
      <c r="Q128" s="823"/>
      <c r="S128" s="1229"/>
      <c r="T128" s="819">
        <v>4</v>
      </c>
      <c r="U128" s="817">
        <f t="shared" si="23"/>
        <v>850</v>
      </c>
      <c r="V128" s="818">
        <f t="shared" si="24"/>
        <v>0</v>
      </c>
      <c r="W128" s="818"/>
      <c r="X128" s="817"/>
      <c r="Y128" s="817"/>
      <c r="Z128" s="817"/>
      <c r="AA128" s="817"/>
      <c r="AB128" s="817"/>
    </row>
    <row r="129" spans="1:28">
      <c r="A129" s="825"/>
      <c r="B129" s="824"/>
      <c r="C129" s="824"/>
      <c r="D129" s="824"/>
      <c r="E129" s="824"/>
      <c r="F129" s="824"/>
      <c r="G129" s="824"/>
      <c r="H129" s="824"/>
      <c r="I129" s="824"/>
      <c r="J129" s="824"/>
      <c r="K129" s="824"/>
      <c r="L129" s="824"/>
      <c r="M129" s="824"/>
      <c r="N129" s="824"/>
      <c r="O129" s="824"/>
      <c r="P129" s="824"/>
      <c r="Q129" s="823"/>
      <c r="S129" s="1229"/>
      <c r="T129" s="819">
        <v>5</v>
      </c>
      <c r="U129" s="817">
        <f t="shared" si="23"/>
        <v>850.5</v>
      </c>
      <c r="V129" s="818">
        <f t="shared" si="24"/>
        <v>0</v>
      </c>
      <c r="W129" s="818"/>
      <c r="X129" s="817"/>
      <c r="Y129" s="817"/>
      <c r="Z129" s="817"/>
      <c r="AA129" s="817"/>
      <c r="AB129" s="817"/>
    </row>
    <row r="130" spans="1:28">
      <c r="A130" s="825"/>
      <c r="B130" s="824"/>
      <c r="C130" s="824"/>
      <c r="D130" s="824"/>
      <c r="E130" s="824"/>
      <c r="F130" s="824"/>
      <c r="G130" s="824"/>
      <c r="H130" s="824"/>
      <c r="I130" s="824"/>
      <c r="J130" s="824"/>
      <c r="K130" s="824"/>
      <c r="L130" s="824"/>
      <c r="M130" s="824"/>
      <c r="N130" s="824"/>
      <c r="O130" s="824"/>
      <c r="P130" s="824"/>
      <c r="Q130" s="823"/>
      <c r="S130" s="1229"/>
      <c r="T130" s="819">
        <v>6</v>
      </c>
      <c r="U130" s="817">
        <f t="shared" si="23"/>
        <v>850</v>
      </c>
      <c r="V130" s="818">
        <f t="shared" si="24"/>
        <v>0.5</v>
      </c>
      <c r="W130" s="818"/>
      <c r="X130" s="817"/>
      <c r="Y130" s="817"/>
      <c r="Z130" s="817"/>
      <c r="AA130" s="817"/>
      <c r="AB130" s="817"/>
    </row>
    <row r="131" spans="1:28">
      <c r="A131" s="825"/>
      <c r="B131" s="824"/>
      <c r="C131" s="824"/>
      <c r="D131" s="824"/>
      <c r="E131" s="824"/>
      <c r="F131" s="824"/>
      <c r="G131" s="824"/>
      <c r="H131" s="824"/>
      <c r="I131" s="824"/>
      <c r="J131" s="824"/>
      <c r="K131" s="824"/>
      <c r="L131" s="824"/>
      <c r="M131" s="824"/>
      <c r="N131" s="824"/>
      <c r="O131" s="824"/>
      <c r="P131" s="824"/>
      <c r="Q131" s="823"/>
      <c r="S131" s="1229"/>
      <c r="T131" s="819">
        <v>7</v>
      </c>
      <c r="U131" s="817">
        <f t="shared" si="23"/>
        <v>840</v>
      </c>
      <c r="V131" s="818">
        <f t="shared" si="24"/>
        <v>0</v>
      </c>
      <c r="W131" s="818"/>
      <c r="X131" s="817"/>
      <c r="Y131" s="817"/>
      <c r="Z131" s="817"/>
      <c r="AA131" s="817"/>
      <c r="AB131" s="817"/>
    </row>
    <row r="132" spans="1:28">
      <c r="A132" s="825"/>
      <c r="B132" s="824"/>
      <c r="C132" s="824"/>
      <c r="D132" s="824"/>
      <c r="E132" s="824"/>
      <c r="F132" s="824"/>
      <c r="G132" s="824"/>
      <c r="H132" s="824"/>
      <c r="I132" s="824"/>
      <c r="J132" s="824"/>
      <c r="K132" s="824"/>
      <c r="L132" s="824"/>
      <c r="M132" s="824"/>
      <c r="N132" s="824"/>
      <c r="O132" s="824"/>
      <c r="P132" s="824"/>
      <c r="Q132" s="823"/>
      <c r="S132" s="1229"/>
      <c r="T132" s="819">
        <v>8</v>
      </c>
      <c r="U132" s="817">
        <f t="shared" si="23"/>
        <v>850.5</v>
      </c>
      <c r="V132" s="818">
        <f t="shared" si="24"/>
        <v>0</v>
      </c>
      <c r="W132" s="818"/>
      <c r="X132" s="817"/>
      <c r="Y132" s="817"/>
      <c r="Z132" s="817"/>
      <c r="AA132" s="817"/>
      <c r="AB132" s="817"/>
    </row>
    <row r="133" spans="1:28">
      <c r="A133" s="825"/>
      <c r="B133" s="824"/>
      <c r="C133" s="824"/>
      <c r="D133" s="824"/>
      <c r="E133" s="824"/>
      <c r="F133" s="824"/>
      <c r="G133" s="824"/>
      <c r="H133" s="824"/>
      <c r="I133" s="824"/>
      <c r="J133" s="824"/>
      <c r="K133" s="824"/>
      <c r="L133" s="824"/>
      <c r="M133" s="824"/>
      <c r="N133" s="824"/>
      <c r="O133" s="824"/>
      <c r="P133" s="824"/>
      <c r="Q133" s="823"/>
      <c r="S133" s="1229"/>
      <c r="T133" s="819">
        <v>9</v>
      </c>
      <c r="U133" s="817">
        <f t="shared" si="23"/>
        <v>850</v>
      </c>
      <c r="V133" s="818">
        <f t="shared" si="24"/>
        <v>0.5</v>
      </c>
      <c r="W133" s="818"/>
      <c r="X133" s="817"/>
      <c r="Y133" s="817"/>
      <c r="Z133" s="817"/>
      <c r="AA133" s="817"/>
      <c r="AB133" s="817"/>
    </row>
    <row r="134" spans="1:28">
      <c r="A134" s="825"/>
      <c r="B134" s="824"/>
      <c r="C134" s="824"/>
      <c r="D134" s="824"/>
      <c r="E134" s="824"/>
      <c r="F134" s="824"/>
      <c r="G134" s="824"/>
      <c r="H134" s="824"/>
      <c r="I134" s="824"/>
      <c r="J134" s="824"/>
      <c r="K134" s="824"/>
      <c r="L134" s="824"/>
      <c r="M134" s="824"/>
      <c r="N134" s="824"/>
      <c r="O134" s="824"/>
      <c r="P134" s="824"/>
      <c r="Q134" s="823"/>
      <c r="S134" s="1229"/>
      <c r="T134" s="819">
        <v>10</v>
      </c>
      <c r="U134" s="817">
        <f t="shared" si="23"/>
        <v>850</v>
      </c>
      <c r="V134" s="818">
        <f t="shared" si="24"/>
        <v>0.5</v>
      </c>
      <c r="W134" s="818"/>
      <c r="X134" s="817"/>
      <c r="Y134" s="817"/>
      <c r="Z134" s="817"/>
      <c r="AA134" s="817"/>
      <c r="AB134" s="817"/>
    </row>
    <row r="135" spans="1:28">
      <c r="A135" s="825"/>
      <c r="B135" s="824"/>
      <c r="C135" s="824"/>
      <c r="D135" s="824"/>
      <c r="E135" s="824"/>
      <c r="F135" s="824"/>
      <c r="G135" s="824"/>
      <c r="H135" s="824"/>
      <c r="I135" s="824"/>
      <c r="J135" s="824"/>
      <c r="K135" s="824"/>
      <c r="L135" s="824"/>
      <c r="M135" s="824"/>
      <c r="N135" s="824"/>
      <c r="O135" s="824"/>
      <c r="P135" s="824"/>
      <c r="Q135" s="823"/>
      <c r="S135" s="1228" t="s">
        <v>495</v>
      </c>
      <c r="T135" s="819">
        <v>1</v>
      </c>
      <c r="U135" s="817">
        <f t="shared" ref="U135:U144" si="25">MIN(G10:I10)</f>
        <v>850</v>
      </c>
      <c r="V135" s="818">
        <f t="shared" ref="V135:V144" si="26">J10</f>
        <v>0</v>
      </c>
      <c r="W135" s="818"/>
      <c r="X135" s="817"/>
      <c r="Y135" s="817"/>
      <c r="Z135" s="817"/>
      <c r="AA135" s="817"/>
      <c r="AB135" s="817"/>
    </row>
    <row r="136" spans="1:28">
      <c r="A136" s="825"/>
      <c r="B136" s="824"/>
      <c r="C136" s="824"/>
      <c r="D136" s="824"/>
      <c r="E136" s="824"/>
      <c r="F136" s="824"/>
      <c r="G136" s="824"/>
      <c r="H136" s="824"/>
      <c r="I136" s="824"/>
      <c r="J136" s="824"/>
      <c r="K136" s="824"/>
      <c r="L136" s="824"/>
      <c r="M136" s="824"/>
      <c r="N136" s="824"/>
      <c r="O136" s="824"/>
      <c r="P136" s="824"/>
      <c r="Q136" s="823"/>
      <c r="S136" s="1229"/>
      <c r="T136" s="819">
        <v>2</v>
      </c>
      <c r="U136" s="817">
        <f t="shared" si="25"/>
        <v>849.5</v>
      </c>
      <c r="V136" s="818">
        <f t="shared" si="26"/>
        <v>0.5</v>
      </c>
      <c r="W136" s="818"/>
      <c r="X136" s="817"/>
      <c r="Y136" s="817"/>
      <c r="Z136" s="817"/>
      <c r="AA136" s="817"/>
      <c r="AB136" s="817"/>
    </row>
    <row r="137" spans="1:28">
      <c r="A137" s="825"/>
      <c r="B137" s="824"/>
      <c r="C137" s="824"/>
      <c r="D137" s="824"/>
      <c r="E137" s="824"/>
      <c r="F137" s="824"/>
      <c r="G137" s="824"/>
      <c r="H137" s="824"/>
      <c r="I137" s="824"/>
      <c r="J137" s="824"/>
      <c r="K137" s="824"/>
      <c r="L137" s="824"/>
      <c r="M137" s="824"/>
      <c r="N137" s="824"/>
      <c r="O137" s="824"/>
      <c r="P137" s="824"/>
      <c r="Q137" s="823"/>
      <c r="S137" s="1229"/>
      <c r="T137" s="819">
        <v>3</v>
      </c>
      <c r="U137" s="817">
        <f t="shared" si="25"/>
        <v>849.5</v>
      </c>
      <c r="V137" s="818">
        <f t="shared" si="26"/>
        <v>0.5</v>
      </c>
      <c r="W137" s="818"/>
      <c r="X137" s="817"/>
      <c r="Y137" s="817"/>
      <c r="Z137" s="817"/>
      <c r="AA137" s="817"/>
      <c r="AB137" s="817"/>
    </row>
    <row r="138" spans="1:28">
      <c r="A138" s="825"/>
      <c r="B138" s="824"/>
      <c r="C138" s="824"/>
      <c r="D138" s="824"/>
      <c r="E138" s="824"/>
      <c r="F138" s="824"/>
      <c r="G138" s="824"/>
      <c r="H138" s="824"/>
      <c r="I138" s="824"/>
      <c r="J138" s="824"/>
      <c r="K138" s="824"/>
      <c r="L138" s="824"/>
      <c r="M138" s="824"/>
      <c r="N138" s="824"/>
      <c r="O138" s="824"/>
      <c r="P138" s="824"/>
      <c r="Q138" s="823"/>
      <c r="S138" s="1229"/>
      <c r="T138" s="819">
        <v>4</v>
      </c>
      <c r="U138" s="817">
        <f t="shared" si="25"/>
        <v>850</v>
      </c>
      <c r="V138" s="818">
        <f t="shared" si="26"/>
        <v>0</v>
      </c>
      <c r="W138" s="818"/>
      <c r="X138" s="817"/>
      <c r="Y138" s="817"/>
      <c r="Z138" s="817"/>
      <c r="AA138" s="817"/>
      <c r="AB138" s="817"/>
    </row>
    <row r="139" spans="1:28">
      <c r="A139" s="825"/>
      <c r="B139" s="824"/>
      <c r="C139" s="824"/>
      <c r="D139" s="824"/>
      <c r="E139" s="824"/>
      <c r="F139" s="824"/>
      <c r="G139" s="824"/>
      <c r="H139" s="824"/>
      <c r="I139" s="824"/>
      <c r="J139" s="824"/>
      <c r="K139" s="824"/>
      <c r="L139" s="824"/>
      <c r="M139" s="824"/>
      <c r="N139" s="824"/>
      <c r="O139" s="824"/>
      <c r="P139" s="824"/>
      <c r="Q139" s="823"/>
      <c r="S139" s="1229"/>
      <c r="T139" s="819">
        <v>5</v>
      </c>
      <c r="U139" s="817">
        <f t="shared" si="25"/>
        <v>850.5</v>
      </c>
      <c r="V139" s="818">
        <f t="shared" si="26"/>
        <v>0</v>
      </c>
      <c r="W139" s="818"/>
      <c r="X139" s="817"/>
      <c r="Y139" s="817"/>
      <c r="Z139" s="817"/>
      <c r="AA139" s="817"/>
      <c r="AB139" s="817"/>
    </row>
    <row r="140" spans="1:28">
      <c r="A140" s="825"/>
      <c r="B140" s="824"/>
      <c r="C140" s="824"/>
      <c r="D140" s="824"/>
      <c r="E140" s="824"/>
      <c r="F140" s="824"/>
      <c r="G140" s="824"/>
      <c r="H140" s="824"/>
      <c r="I140" s="824"/>
      <c r="J140" s="824"/>
      <c r="K140" s="824"/>
      <c r="L140" s="824"/>
      <c r="M140" s="824"/>
      <c r="N140" s="824"/>
      <c r="O140" s="824"/>
      <c r="P140" s="824"/>
      <c r="Q140" s="823"/>
      <c r="S140" s="1229"/>
      <c r="T140" s="819">
        <v>6</v>
      </c>
      <c r="U140" s="817">
        <f t="shared" si="25"/>
        <v>850</v>
      </c>
      <c r="V140" s="818">
        <f t="shared" si="26"/>
        <v>0.5</v>
      </c>
      <c r="W140" s="818"/>
      <c r="X140" s="817"/>
      <c r="Y140" s="817"/>
      <c r="Z140" s="817"/>
      <c r="AA140" s="817"/>
      <c r="AB140" s="817"/>
    </row>
    <row r="141" spans="1:28">
      <c r="A141" s="825"/>
      <c r="B141" s="824"/>
      <c r="C141" s="824"/>
      <c r="D141" s="824"/>
      <c r="E141" s="824"/>
      <c r="F141" s="824"/>
      <c r="G141" s="824"/>
      <c r="H141" s="824"/>
      <c r="I141" s="824"/>
      <c r="J141" s="824"/>
      <c r="K141" s="824"/>
      <c r="L141" s="824"/>
      <c r="M141" s="824"/>
      <c r="N141" s="824"/>
      <c r="O141" s="824"/>
      <c r="P141" s="824"/>
      <c r="Q141" s="823"/>
      <c r="S141" s="1229"/>
      <c r="T141" s="819">
        <v>7</v>
      </c>
      <c r="U141" s="817">
        <f t="shared" si="25"/>
        <v>840</v>
      </c>
      <c r="V141" s="818">
        <f t="shared" si="26"/>
        <v>0</v>
      </c>
      <c r="W141" s="818"/>
      <c r="X141" s="817"/>
      <c r="Y141" s="817"/>
      <c r="Z141" s="817"/>
      <c r="AA141" s="817"/>
      <c r="AB141" s="817"/>
    </row>
    <row r="142" spans="1:28">
      <c r="A142" s="825"/>
      <c r="B142" s="824"/>
      <c r="C142" s="824"/>
      <c r="D142" s="824"/>
      <c r="E142" s="824"/>
      <c r="F142" s="824"/>
      <c r="G142" s="824"/>
      <c r="H142" s="824"/>
      <c r="I142" s="824"/>
      <c r="J142" s="824"/>
      <c r="K142" s="824"/>
      <c r="L142" s="824"/>
      <c r="M142" s="824"/>
      <c r="N142" s="824"/>
      <c r="O142" s="824"/>
      <c r="P142" s="824"/>
      <c r="Q142" s="823"/>
      <c r="S142" s="1229"/>
      <c r="T142" s="819">
        <v>8</v>
      </c>
      <c r="U142" s="817">
        <f t="shared" si="25"/>
        <v>850</v>
      </c>
      <c r="V142" s="818">
        <f t="shared" si="26"/>
        <v>0.5</v>
      </c>
      <c r="W142" s="818"/>
      <c r="X142" s="817"/>
      <c r="Y142" s="817"/>
      <c r="Z142" s="817"/>
      <c r="AA142" s="817"/>
      <c r="AB142" s="817"/>
    </row>
    <row r="143" spans="1:28">
      <c r="A143" s="825"/>
      <c r="B143" s="824"/>
      <c r="C143" s="824"/>
      <c r="D143" s="824"/>
      <c r="E143" s="824"/>
      <c r="F143" s="824"/>
      <c r="G143" s="824"/>
      <c r="H143" s="824"/>
      <c r="I143" s="824"/>
      <c r="J143" s="824"/>
      <c r="K143" s="824"/>
      <c r="L143" s="824"/>
      <c r="M143" s="824"/>
      <c r="N143" s="824"/>
      <c r="O143" s="824"/>
      <c r="P143" s="824"/>
      <c r="Q143" s="823"/>
      <c r="S143" s="1229"/>
      <c r="T143" s="819">
        <v>9</v>
      </c>
      <c r="U143" s="817">
        <f t="shared" si="25"/>
        <v>850</v>
      </c>
      <c r="V143" s="818">
        <f t="shared" si="26"/>
        <v>0.5</v>
      </c>
      <c r="W143" s="818"/>
      <c r="X143" s="817"/>
      <c r="Y143" s="817"/>
      <c r="Z143" s="817"/>
      <c r="AA143" s="817"/>
      <c r="AB143" s="817"/>
    </row>
    <row r="144" spans="1:28">
      <c r="A144" s="825"/>
      <c r="B144" s="824"/>
      <c r="C144" s="824"/>
      <c r="D144" s="824"/>
      <c r="E144" s="824"/>
      <c r="F144" s="824"/>
      <c r="G144" s="824"/>
      <c r="H144" s="824"/>
      <c r="I144" s="824"/>
      <c r="J144" s="824"/>
      <c r="K144" s="824"/>
      <c r="L144" s="824"/>
      <c r="M144" s="824"/>
      <c r="N144" s="824"/>
      <c r="O144" s="824"/>
      <c r="P144" s="824"/>
      <c r="Q144" s="823"/>
      <c r="S144" s="1229"/>
      <c r="T144" s="819">
        <v>10</v>
      </c>
      <c r="U144" s="817">
        <f t="shared" si="25"/>
        <v>850</v>
      </c>
      <c r="V144" s="818">
        <f t="shared" si="26"/>
        <v>0.5</v>
      </c>
      <c r="W144" s="818"/>
      <c r="X144" s="817"/>
      <c r="Y144" s="817"/>
      <c r="Z144" s="817"/>
      <c r="AA144" s="817"/>
      <c r="AB144" s="817"/>
    </row>
    <row r="145" spans="1:28">
      <c r="A145" s="825"/>
      <c r="B145" s="824"/>
      <c r="C145" s="824"/>
      <c r="D145" s="824"/>
      <c r="E145" s="824"/>
      <c r="F145" s="824"/>
      <c r="G145" s="824"/>
      <c r="H145" s="824"/>
      <c r="I145" s="824"/>
      <c r="J145" s="824"/>
      <c r="K145" s="824"/>
      <c r="L145" s="824"/>
      <c r="M145" s="824"/>
      <c r="N145" s="824"/>
      <c r="O145" s="824"/>
      <c r="P145" s="824"/>
      <c r="Q145" s="823"/>
      <c r="S145" s="1228" t="s">
        <v>494</v>
      </c>
      <c r="T145" s="819">
        <v>1</v>
      </c>
      <c r="U145" s="817">
        <f t="shared" ref="U145:U154" si="27">MIN(L10:N10)</f>
        <v>850</v>
      </c>
      <c r="V145" s="818">
        <f t="shared" ref="V145:V154" si="28">O10</f>
        <v>0</v>
      </c>
      <c r="W145" s="818"/>
      <c r="X145" s="817"/>
      <c r="Y145" s="817"/>
      <c r="Z145" s="817"/>
      <c r="AA145" s="817"/>
      <c r="AB145" s="817"/>
    </row>
    <row r="146" spans="1:28">
      <c r="A146" s="825"/>
      <c r="B146" s="824"/>
      <c r="C146" s="824"/>
      <c r="D146" s="824"/>
      <c r="E146" s="824"/>
      <c r="F146" s="824"/>
      <c r="G146" s="824"/>
      <c r="H146" s="824"/>
      <c r="I146" s="824"/>
      <c r="J146" s="824"/>
      <c r="K146" s="824"/>
      <c r="L146" s="824"/>
      <c r="M146" s="824"/>
      <c r="N146" s="824"/>
      <c r="O146" s="824"/>
      <c r="P146" s="824"/>
      <c r="Q146" s="823"/>
      <c r="S146" s="1229"/>
      <c r="T146" s="819">
        <v>2</v>
      </c>
      <c r="U146" s="817">
        <f t="shared" si="27"/>
        <v>849.5</v>
      </c>
      <c r="V146" s="818">
        <f t="shared" si="28"/>
        <v>0.5</v>
      </c>
      <c r="W146" s="818"/>
      <c r="X146" s="817"/>
      <c r="Y146" s="817"/>
      <c r="Z146" s="817"/>
      <c r="AA146" s="817"/>
      <c r="AB146" s="817"/>
    </row>
    <row r="147" spans="1:28">
      <c r="A147" s="825"/>
      <c r="B147" s="824"/>
      <c r="C147" s="824"/>
      <c r="D147" s="824"/>
      <c r="E147" s="824"/>
      <c r="F147" s="824"/>
      <c r="G147" s="824"/>
      <c r="H147" s="824"/>
      <c r="I147" s="824"/>
      <c r="J147" s="824"/>
      <c r="K147" s="824"/>
      <c r="L147" s="824"/>
      <c r="M147" s="824"/>
      <c r="N147" s="824"/>
      <c r="O147" s="824"/>
      <c r="P147" s="824"/>
      <c r="Q147" s="823"/>
      <c r="S147" s="1229"/>
      <c r="T147" s="819">
        <v>3</v>
      </c>
      <c r="U147" s="817">
        <f t="shared" si="27"/>
        <v>849.5</v>
      </c>
      <c r="V147" s="818">
        <f t="shared" si="28"/>
        <v>0.5</v>
      </c>
      <c r="W147" s="818"/>
      <c r="X147" s="817"/>
      <c r="Y147" s="817"/>
      <c r="Z147" s="817"/>
      <c r="AA147" s="817"/>
      <c r="AB147" s="817"/>
    </row>
    <row r="148" spans="1:28">
      <c r="A148" s="825"/>
      <c r="B148" s="824"/>
      <c r="C148" s="824"/>
      <c r="D148" s="824"/>
      <c r="E148" s="824"/>
      <c r="F148" s="824"/>
      <c r="G148" s="824"/>
      <c r="H148" s="824"/>
      <c r="I148" s="824"/>
      <c r="J148" s="824"/>
      <c r="K148" s="824"/>
      <c r="L148" s="824"/>
      <c r="M148" s="824"/>
      <c r="N148" s="824"/>
      <c r="O148" s="824"/>
      <c r="P148" s="824"/>
      <c r="Q148" s="823"/>
      <c r="S148" s="1229"/>
      <c r="T148" s="819">
        <v>4</v>
      </c>
      <c r="U148" s="817">
        <f t="shared" si="27"/>
        <v>850</v>
      </c>
      <c r="V148" s="818">
        <f t="shared" si="28"/>
        <v>0</v>
      </c>
      <c r="W148" s="818"/>
      <c r="X148" s="817"/>
      <c r="Y148" s="817"/>
      <c r="Z148" s="817"/>
      <c r="AA148" s="817"/>
      <c r="AB148" s="817"/>
    </row>
    <row r="149" spans="1:28">
      <c r="A149" s="825"/>
      <c r="B149" s="824"/>
      <c r="C149" s="824"/>
      <c r="D149" s="824"/>
      <c r="E149" s="824"/>
      <c r="F149" s="824"/>
      <c r="G149" s="824"/>
      <c r="H149" s="824"/>
      <c r="I149" s="824"/>
      <c r="J149" s="824"/>
      <c r="K149" s="824"/>
      <c r="L149" s="824"/>
      <c r="M149" s="824"/>
      <c r="N149" s="824"/>
      <c r="O149" s="824"/>
      <c r="P149" s="824"/>
      <c r="Q149" s="823"/>
      <c r="S149" s="1229"/>
      <c r="T149" s="819">
        <v>5</v>
      </c>
      <c r="U149" s="817">
        <f t="shared" si="27"/>
        <v>850.5</v>
      </c>
      <c r="V149" s="818">
        <f t="shared" si="28"/>
        <v>0</v>
      </c>
      <c r="W149" s="818"/>
      <c r="X149" s="817"/>
      <c r="Y149" s="817"/>
      <c r="Z149" s="817"/>
      <c r="AA149" s="817"/>
      <c r="AB149" s="817"/>
    </row>
    <row r="150" spans="1:28" ht="13.5" thickBot="1">
      <c r="A150" s="822"/>
      <c r="B150" s="821"/>
      <c r="C150" s="821"/>
      <c r="D150" s="821"/>
      <c r="E150" s="821"/>
      <c r="F150" s="821"/>
      <c r="G150" s="821"/>
      <c r="H150" s="821"/>
      <c r="I150" s="821"/>
      <c r="J150" s="821"/>
      <c r="K150" s="821"/>
      <c r="L150" s="821"/>
      <c r="M150" s="821"/>
      <c r="N150" s="821"/>
      <c r="O150" s="821"/>
      <c r="P150" s="821"/>
      <c r="Q150" s="820"/>
      <c r="S150" s="1229"/>
      <c r="T150" s="819">
        <v>6</v>
      </c>
      <c r="U150" s="817">
        <f t="shared" si="27"/>
        <v>850</v>
      </c>
      <c r="V150" s="818">
        <f t="shared" si="28"/>
        <v>0.5</v>
      </c>
      <c r="W150" s="818"/>
      <c r="X150" s="817"/>
      <c r="Y150" s="817"/>
      <c r="Z150" s="817"/>
      <c r="AA150" s="817"/>
      <c r="AB150" s="817"/>
    </row>
    <row r="151" spans="1:28">
      <c r="S151" s="1229"/>
      <c r="T151" s="819">
        <v>7</v>
      </c>
      <c r="U151" s="817">
        <f t="shared" si="27"/>
        <v>840</v>
      </c>
      <c r="V151" s="818">
        <f t="shared" si="28"/>
        <v>0</v>
      </c>
      <c r="W151" s="818"/>
      <c r="X151" s="817"/>
      <c r="Y151" s="817"/>
      <c r="Z151" s="817"/>
      <c r="AA151" s="817"/>
      <c r="AB151" s="817"/>
    </row>
    <row r="152" spans="1:28">
      <c r="S152" s="1229"/>
      <c r="T152" s="819">
        <v>8</v>
      </c>
      <c r="U152" s="817">
        <f t="shared" si="27"/>
        <v>850</v>
      </c>
      <c r="V152" s="818">
        <f t="shared" si="28"/>
        <v>0.5</v>
      </c>
      <c r="W152" s="818"/>
      <c r="X152" s="817"/>
      <c r="Y152" s="817"/>
      <c r="Z152" s="817"/>
      <c r="AA152" s="817"/>
      <c r="AB152" s="817"/>
    </row>
    <row r="153" spans="1:28">
      <c r="S153" s="1229"/>
      <c r="T153" s="819">
        <v>9</v>
      </c>
      <c r="U153" s="817">
        <f t="shared" si="27"/>
        <v>850</v>
      </c>
      <c r="V153" s="818">
        <f t="shared" si="28"/>
        <v>0.5</v>
      </c>
      <c r="W153" s="818"/>
      <c r="X153" s="817"/>
      <c r="Y153" s="817"/>
      <c r="Z153" s="817"/>
      <c r="AA153" s="817"/>
      <c r="AB153" s="817"/>
    </row>
    <row r="154" spans="1:28">
      <c r="S154" s="1229"/>
      <c r="T154" s="819">
        <v>10</v>
      </c>
      <c r="U154" s="817">
        <f t="shared" si="27"/>
        <v>850</v>
      </c>
      <c r="V154" s="818">
        <f t="shared" si="28"/>
        <v>0.5</v>
      </c>
      <c r="W154" s="818"/>
      <c r="X154" s="817"/>
      <c r="Y154" s="817"/>
      <c r="Z154" s="817"/>
      <c r="AA154" s="817"/>
      <c r="AB154" s="817"/>
    </row>
  </sheetData>
  <mergeCells count="108">
    <mergeCell ref="N65:O65"/>
    <mergeCell ref="P65:Q65"/>
    <mergeCell ref="C88:P89"/>
    <mergeCell ref="S125:S134"/>
    <mergeCell ref="S135:S144"/>
    <mergeCell ref="S145:S154"/>
    <mergeCell ref="N62:O62"/>
    <mergeCell ref="P62:Q62"/>
    <mergeCell ref="N63:O63"/>
    <mergeCell ref="P63:Q63"/>
    <mergeCell ref="N64:O64"/>
    <mergeCell ref="P64:Q64"/>
    <mergeCell ref="P58:Q58"/>
    <mergeCell ref="N59:O59"/>
    <mergeCell ref="P59:Q59"/>
    <mergeCell ref="N60:O60"/>
    <mergeCell ref="P60:Q60"/>
    <mergeCell ref="N61:O61"/>
    <mergeCell ref="P61:Q61"/>
    <mergeCell ref="G52:Q56"/>
    <mergeCell ref="B54:F54"/>
    <mergeCell ref="B55:F55"/>
    <mergeCell ref="B56:F56"/>
    <mergeCell ref="A58:A59"/>
    <mergeCell ref="B58:D58"/>
    <mergeCell ref="E58:G58"/>
    <mergeCell ref="H58:J58"/>
    <mergeCell ref="K58:M58"/>
    <mergeCell ref="N58:O58"/>
    <mergeCell ref="A48:C48"/>
    <mergeCell ref="D48:F48"/>
    <mergeCell ref="B49:F49"/>
    <mergeCell ref="B50:F50"/>
    <mergeCell ref="B51:F51"/>
    <mergeCell ref="A52:F53"/>
    <mergeCell ref="C45:G45"/>
    <mergeCell ref="K46:M46"/>
    <mergeCell ref="O46:Q46"/>
    <mergeCell ref="A47:F47"/>
    <mergeCell ref="G47:H47"/>
    <mergeCell ref="K47:L47"/>
    <mergeCell ref="C41:G41"/>
    <mergeCell ref="H41:L41"/>
    <mergeCell ref="M41:Q41"/>
    <mergeCell ref="A43:B43"/>
    <mergeCell ref="C43:G43"/>
    <mergeCell ref="H43:L43"/>
    <mergeCell ref="M43:Q43"/>
    <mergeCell ref="A37:B37"/>
    <mergeCell ref="C37:G37"/>
    <mergeCell ref="H37:L37"/>
    <mergeCell ref="M37:Q37"/>
    <mergeCell ref="A39:B39"/>
    <mergeCell ref="C39:G39"/>
    <mergeCell ref="H39:L39"/>
    <mergeCell ref="M39:Q39"/>
    <mergeCell ref="A34:E34"/>
    <mergeCell ref="F34:G34"/>
    <mergeCell ref="A35:B36"/>
    <mergeCell ref="C35:G36"/>
    <mergeCell ref="H35:Q35"/>
    <mergeCell ref="H36:L36"/>
    <mergeCell ref="M36:Q36"/>
    <mergeCell ref="C25:D25"/>
    <mergeCell ref="E25:I25"/>
    <mergeCell ref="N25:O25"/>
    <mergeCell ref="P25:Q25"/>
    <mergeCell ref="A33:B33"/>
    <mergeCell ref="C33:E33"/>
    <mergeCell ref="F33:H33"/>
    <mergeCell ref="I33:K33"/>
    <mergeCell ref="L33:N33"/>
    <mergeCell ref="O33:Q33"/>
    <mergeCell ref="C23:D23"/>
    <mergeCell ref="E23:I23"/>
    <mergeCell ref="J23:K23"/>
    <mergeCell ref="N23:O23"/>
    <mergeCell ref="P23:Q23"/>
    <mergeCell ref="C24:D24"/>
    <mergeCell ref="E24:I24"/>
    <mergeCell ref="N24:O24"/>
    <mergeCell ref="P24:Q24"/>
    <mergeCell ref="A5:B5"/>
    <mergeCell ref="I5:K5"/>
    <mergeCell ref="L5:N5"/>
    <mergeCell ref="O5:Q5"/>
    <mergeCell ref="C8:F8"/>
    <mergeCell ref="H8:K8"/>
    <mergeCell ref="M8:P8"/>
    <mergeCell ref="A3:B3"/>
    <mergeCell ref="C3:D3"/>
    <mergeCell ref="I3:K3"/>
    <mergeCell ref="L3:N3"/>
    <mergeCell ref="O3:Q3"/>
    <mergeCell ref="A4:B4"/>
    <mergeCell ref="C4:D4"/>
    <mergeCell ref="I4:K4"/>
    <mergeCell ref="L4:N4"/>
    <mergeCell ref="O4:Q4"/>
    <mergeCell ref="A1:B1"/>
    <mergeCell ref="C1:L1"/>
    <mergeCell ref="N1:O1"/>
    <mergeCell ref="P1:Q1"/>
    <mergeCell ref="A2:B2"/>
    <mergeCell ref="C2:D2"/>
    <mergeCell ref="I2:K2"/>
    <mergeCell ref="L2:N2"/>
    <mergeCell ref="O2:Q2"/>
  </mergeCells>
  <conditionalFormatting sqref="A54 A49 J46">
    <cfRule type="cellIs" dxfId="5" priority="6" stopIfTrue="1" operator="equal">
      <formula>"X"</formula>
    </cfRule>
  </conditionalFormatting>
  <conditionalFormatting sqref="A55 A50">
    <cfRule type="cellIs" dxfId="4" priority="5" stopIfTrue="1" operator="equal">
      <formula>"X"</formula>
    </cfRule>
  </conditionalFormatting>
  <conditionalFormatting sqref="A56 A51 N46">
    <cfRule type="cellIs" dxfId="3" priority="4" stopIfTrue="1" operator="equal">
      <formula>"X"</formula>
    </cfRule>
  </conditionalFormatting>
  <conditionalFormatting sqref="E10:E19 O10:O19 J10:J19">
    <cfRule type="cellIs" dxfId="2" priority="3" stopIfTrue="1" operator="greaterThan">
      <formula>$C$25</formula>
    </cfRule>
  </conditionalFormatting>
  <conditionalFormatting sqref="B60:D69">
    <cfRule type="cellIs" dxfId="1" priority="2" stopIfTrue="1" operator="notBetween">
      <formula>$G$60</formula>
      <formula>$E$60</formula>
    </cfRule>
  </conditionalFormatting>
  <conditionalFormatting sqref="U60:W69">
    <cfRule type="cellIs" dxfId="0" priority="1" stopIfTrue="1" operator="equal">
      <formula>1</formula>
    </cfRule>
  </conditionalFormatting>
  <dataValidations count="1">
    <dataValidation type="list" showInputMessage="1" showErrorMessage="1" promptTitle="Zadání pro variabilitu procesu:" prompt="TV - odhad variability_x000a_6s - známá variabilita_x000a_T - pouze tolerance" sqref="F34:G34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formula1>$S$34:$S$36</formula1>
    </dataValidation>
  </dataValidations>
  <printOptions horizontalCentered="1"/>
  <pageMargins left="0.47244094488188981" right="0.55118110236220474" top="0.35433070866141736" bottom="0.39370078740157483" header="0.51181102362204722" footer="0.51181102362204722"/>
  <pageSetup paperSize="9" scale="86" fitToHeight="5" orientation="landscape" r:id="rId1"/>
  <headerFooter alignWithMargins="0"/>
  <rowBreaks count="4" manualBreakCount="4">
    <brk id="32" max="16" man="1"/>
    <brk id="57" max="16" man="1"/>
    <brk id="89" max="16" man="1"/>
    <brk id="123" max="16" man="1"/>
  </rowBreaks>
  <customProperties>
    <customPr name="IbpWorksheetKeyString_GUID" r:id="rId2"/>
  </customProperties>
  <drawing r:id="rId3"/>
  <legacyDrawing r:id="rId4"/>
  <oleObjects>
    <mc:AlternateContent xmlns:mc="http://schemas.openxmlformats.org/markup-compatibility/2006">
      <mc:Choice Requires="x14">
        <oleObject progId="Equation.3" shapeId="45067" r:id="rId5">
          <objectPr defaultSize="0" r:id="rId6">
            <anchor moveWithCells="1" sizeWithCells="1">
              <from>
                <xdr:col>0</xdr:col>
                <xdr:colOff>200025</xdr:colOff>
                <xdr:row>37</xdr:row>
                <xdr:rowOff>9525</xdr:rowOff>
              </from>
              <to>
                <xdr:col>0</xdr:col>
                <xdr:colOff>371475</xdr:colOff>
                <xdr:row>37</xdr:row>
                <xdr:rowOff>228600</xdr:rowOff>
              </to>
            </anchor>
          </objectPr>
        </oleObject>
      </mc:Choice>
      <mc:Fallback>
        <oleObject progId="Equation.3" shapeId="45067" r:id="rId5"/>
      </mc:Fallback>
    </mc:AlternateContent>
    <mc:AlternateContent xmlns:mc="http://schemas.openxmlformats.org/markup-compatibility/2006">
      <mc:Choice Requires="x14">
        <oleObject progId="Equation.3" shapeId="45068" r:id="rId7">
          <objectPr defaultSize="0" r:id="rId8">
            <anchor moveWithCells="1" sizeWithCells="1">
              <from>
                <xdr:col>0</xdr:col>
                <xdr:colOff>85725</xdr:colOff>
                <xdr:row>39</xdr:row>
                <xdr:rowOff>9525</xdr:rowOff>
              </from>
              <to>
                <xdr:col>0</xdr:col>
                <xdr:colOff>485775</xdr:colOff>
                <xdr:row>39</xdr:row>
                <xdr:rowOff>238125</xdr:rowOff>
              </to>
            </anchor>
          </objectPr>
        </oleObject>
      </mc:Choice>
      <mc:Fallback>
        <oleObject progId="Equation.3" shapeId="45068" r:id="rId7"/>
      </mc:Fallback>
    </mc:AlternateContent>
    <mc:AlternateContent xmlns:mc="http://schemas.openxmlformats.org/markup-compatibility/2006">
      <mc:Choice Requires="x14">
        <oleObject progId="Equation.3" shapeId="45069" r:id="rId9">
          <objectPr defaultSize="0" r:id="rId10">
            <anchor moveWithCells="1" sizeWithCells="1">
              <from>
                <xdr:col>0</xdr:col>
                <xdr:colOff>180975</xdr:colOff>
                <xdr:row>43</xdr:row>
                <xdr:rowOff>9525</xdr:rowOff>
              </from>
              <to>
                <xdr:col>0</xdr:col>
                <xdr:colOff>390525</xdr:colOff>
                <xdr:row>44</xdr:row>
                <xdr:rowOff>9525</xdr:rowOff>
              </to>
            </anchor>
          </objectPr>
        </oleObject>
      </mc:Choice>
      <mc:Fallback>
        <oleObject progId="Equation.3" shapeId="45069" r:id="rId9"/>
      </mc:Fallback>
    </mc:AlternateContent>
    <mc:AlternateContent xmlns:mc="http://schemas.openxmlformats.org/markup-compatibility/2006">
      <mc:Choice Requires="x14">
        <oleObject progId="Equation.3" shapeId="45070" r:id="rId11">
          <objectPr defaultSize="0" r:id="rId6">
            <anchor moveWithCells="1" sizeWithCells="1">
              <from>
                <xdr:col>1</xdr:col>
                <xdr:colOff>200025</xdr:colOff>
                <xdr:row>22</xdr:row>
                <xdr:rowOff>9525</xdr:rowOff>
              </from>
              <to>
                <xdr:col>1</xdr:col>
                <xdr:colOff>371475</xdr:colOff>
                <xdr:row>22</xdr:row>
                <xdr:rowOff>228600</xdr:rowOff>
              </to>
            </anchor>
          </objectPr>
        </oleObject>
      </mc:Choice>
      <mc:Fallback>
        <oleObject progId="Equation.3" shapeId="45070" r:id="rId11"/>
      </mc:Fallback>
    </mc:AlternateContent>
    <mc:AlternateContent xmlns:mc="http://schemas.openxmlformats.org/markup-compatibility/2006">
      <mc:Choice Requires="x14">
        <oleObject progId="Equation.3" shapeId="45071" r:id="rId12">
          <objectPr defaultSize="0" r:id="rId8">
            <anchor moveWithCells="1" sizeWithCells="1">
              <from>
                <xdr:col>1</xdr:col>
                <xdr:colOff>85725</xdr:colOff>
                <xdr:row>23</xdr:row>
                <xdr:rowOff>9525</xdr:rowOff>
              </from>
              <to>
                <xdr:col>1</xdr:col>
                <xdr:colOff>485775</xdr:colOff>
                <xdr:row>24</xdr:row>
                <xdr:rowOff>0</xdr:rowOff>
              </to>
            </anchor>
          </objectPr>
        </oleObject>
      </mc:Choice>
      <mc:Fallback>
        <oleObject progId="Equation.3" shapeId="45071" r:id="rId12"/>
      </mc:Fallback>
    </mc:AlternateContent>
    <mc:AlternateContent xmlns:mc="http://schemas.openxmlformats.org/markup-compatibility/2006">
      <mc:Choice Requires="x14">
        <oleObject progId="Equation.3" shapeId="45072" r:id="rId13">
          <objectPr defaultSize="0" r:id="rId14">
            <anchor moveWithCells="1" sizeWithCells="1">
              <from>
                <xdr:col>1</xdr:col>
                <xdr:colOff>85725</xdr:colOff>
                <xdr:row>24</xdr:row>
                <xdr:rowOff>28575</xdr:rowOff>
              </from>
              <to>
                <xdr:col>1</xdr:col>
                <xdr:colOff>485775</xdr:colOff>
                <xdr:row>25</xdr:row>
                <xdr:rowOff>0</xdr:rowOff>
              </to>
            </anchor>
          </objectPr>
        </oleObject>
      </mc:Choice>
      <mc:Fallback>
        <oleObject progId="Equation.3" shapeId="45072" r:id="rId13"/>
      </mc:Fallback>
    </mc:AlternateContent>
    <mc:AlternateContent xmlns:mc="http://schemas.openxmlformats.org/markup-compatibility/2006">
      <mc:Choice Requires="x14">
        <oleObject progId="Equation.3" shapeId="45073" r:id="rId15">
          <objectPr defaultSize="0" r:id="rId16">
            <anchor moveWithCells="1" sizeWithCells="1">
              <from>
                <xdr:col>4</xdr:col>
                <xdr:colOff>161925</xdr:colOff>
                <xdr:row>21</xdr:row>
                <xdr:rowOff>28575</xdr:rowOff>
              </from>
              <to>
                <xdr:col>4</xdr:col>
                <xdr:colOff>352425</xdr:colOff>
                <xdr:row>21</xdr:row>
                <xdr:rowOff>266700</xdr:rowOff>
              </to>
            </anchor>
          </objectPr>
        </oleObject>
      </mc:Choice>
      <mc:Fallback>
        <oleObject progId="Equation.3" shapeId="45073" r:id="rId15"/>
      </mc:Fallback>
    </mc:AlternateContent>
    <mc:AlternateContent xmlns:mc="http://schemas.openxmlformats.org/markup-compatibility/2006">
      <mc:Choice Requires="x14">
        <oleObject progId="Equation.3" shapeId="45074" r:id="rId17">
          <objectPr defaultSize="0" r:id="rId18">
            <anchor moveWithCells="1" sizeWithCells="1">
              <from>
                <xdr:col>9</xdr:col>
                <xdr:colOff>161925</xdr:colOff>
                <xdr:row>21</xdr:row>
                <xdr:rowOff>28575</xdr:rowOff>
              </from>
              <to>
                <xdr:col>9</xdr:col>
                <xdr:colOff>352425</xdr:colOff>
                <xdr:row>22</xdr:row>
                <xdr:rowOff>0</xdr:rowOff>
              </to>
            </anchor>
          </objectPr>
        </oleObject>
      </mc:Choice>
      <mc:Fallback>
        <oleObject progId="Equation.3" shapeId="45074" r:id="rId17"/>
      </mc:Fallback>
    </mc:AlternateContent>
    <mc:AlternateContent xmlns:mc="http://schemas.openxmlformats.org/markup-compatibility/2006">
      <mc:Choice Requires="x14">
        <oleObject progId="Equation.3" shapeId="45075" r:id="rId19">
          <objectPr defaultSize="0" r:id="rId20">
            <anchor moveWithCells="1" sizeWithCells="1">
              <from>
                <xdr:col>14</xdr:col>
                <xdr:colOff>133350</xdr:colOff>
                <xdr:row>21</xdr:row>
                <xdr:rowOff>28575</xdr:rowOff>
              </from>
              <to>
                <xdr:col>14</xdr:col>
                <xdr:colOff>323850</xdr:colOff>
                <xdr:row>22</xdr:row>
                <xdr:rowOff>0</xdr:rowOff>
              </to>
            </anchor>
          </objectPr>
        </oleObject>
      </mc:Choice>
      <mc:Fallback>
        <oleObject progId="Equation.3" shapeId="45075" r:id="rId19"/>
      </mc:Fallback>
    </mc:AlternateContent>
    <mc:AlternateContent xmlns:mc="http://schemas.openxmlformats.org/markup-compatibility/2006">
      <mc:Choice Requires="x14">
        <oleObject progId="Equation.3" shapeId="45076" r:id="rId21">
          <objectPr defaultSize="0" r:id="rId22">
            <anchor moveWithCells="1" sizeWithCells="1">
              <from>
                <xdr:col>15</xdr:col>
                <xdr:colOff>114300</xdr:colOff>
                <xdr:row>21</xdr:row>
                <xdr:rowOff>19050</xdr:rowOff>
              </from>
              <to>
                <xdr:col>15</xdr:col>
                <xdr:colOff>333375</xdr:colOff>
                <xdr:row>21</xdr:row>
                <xdr:rowOff>266700</xdr:rowOff>
              </to>
            </anchor>
          </objectPr>
        </oleObject>
      </mc:Choice>
      <mc:Fallback>
        <oleObject progId="Equation.3" shapeId="45076" r:id="rId21"/>
      </mc:Fallback>
    </mc:AlternateContent>
    <mc:AlternateContent xmlns:mc="http://schemas.openxmlformats.org/markup-compatibility/2006">
      <mc:Choice Requires="x14">
        <oleObject progId="Equation.3" shapeId="45077" r:id="rId23">
          <objectPr defaultSize="0" r:id="rId24">
            <anchor moveWithCells="1" sizeWithCells="1">
              <from>
                <xdr:col>10</xdr:col>
                <xdr:colOff>142875</xdr:colOff>
                <xdr:row>21</xdr:row>
                <xdr:rowOff>38100</xdr:rowOff>
              </from>
              <to>
                <xdr:col>10</xdr:col>
                <xdr:colOff>361950</xdr:colOff>
                <xdr:row>22</xdr:row>
                <xdr:rowOff>9525</xdr:rowOff>
              </to>
            </anchor>
          </objectPr>
        </oleObject>
      </mc:Choice>
      <mc:Fallback>
        <oleObject progId="Equation.3" shapeId="45077" r:id="rId23"/>
      </mc:Fallback>
    </mc:AlternateContent>
    <mc:AlternateContent xmlns:mc="http://schemas.openxmlformats.org/markup-compatibility/2006">
      <mc:Choice Requires="x14">
        <oleObject progId="Equation.3" shapeId="45078" r:id="rId25">
          <objectPr defaultSize="0" r:id="rId26">
            <anchor moveWithCells="1" sizeWithCells="1">
              <from>
                <xdr:col>16</xdr:col>
                <xdr:colOff>171450</xdr:colOff>
                <xdr:row>21</xdr:row>
                <xdr:rowOff>19050</xdr:rowOff>
              </from>
              <to>
                <xdr:col>16</xdr:col>
                <xdr:colOff>381000</xdr:colOff>
                <xdr:row>21</xdr:row>
                <xdr:rowOff>266700</xdr:rowOff>
              </to>
            </anchor>
          </objectPr>
        </oleObject>
      </mc:Choice>
      <mc:Fallback>
        <oleObject progId="Equation.3" shapeId="45078" r:id="rId25"/>
      </mc:Fallback>
    </mc:AlternateContent>
    <mc:AlternateContent xmlns:mc="http://schemas.openxmlformats.org/markup-compatibility/2006">
      <mc:Choice Requires="x14">
        <oleObject progId="Equation.3" shapeId="45079" r:id="rId27">
          <objectPr defaultSize="0" r:id="rId28">
            <anchor moveWithCells="1" sizeWithCells="1">
              <from>
                <xdr:col>4</xdr:col>
                <xdr:colOff>180975</xdr:colOff>
                <xdr:row>8</xdr:row>
                <xdr:rowOff>47625</xdr:rowOff>
              </from>
              <to>
                <xdr:col>4</xdr:col>
                <xdr:colOff>333375</xdr:colOff>
                <xdr:row>8</xdr:row>
                <xdr:rowOff>219075</xdr:rowOff>
              </to>
            </anchor>
          </objectPr>
        </oleObject>
      </mc:Choice>
      <mc:Fallback>
        <oleObject progId="Equation.3" shapeId="45079" r:id="rId27"/>
      </mc:Fallback>
    </mc:AlternateContent>
    <mc:AlternateContent xmlns:mc="http://schemas.openxmlformats.org/markup-compatibility/2006">
      <mc:Choice Requires="x14">
        <oleObject progId="Equation.3" shapeId="45080" r:id="rId29">
          <objectPr defaultSize="0" r:id="rId28">
            <anchor moveWithCells="1" sizeWithCells="1">
              <from>
                <xdr:col>9</xdr:col>
                <xdr:colOff>180975</xdr:colOff>
                <xdr:row>8</xdr:row>
                <xdr:rowOff>47625</xdr:rowOff>
              </from>
              <to>
                <xdr:col>9</xdr:col>
                <xdr:colOff>333375</xdr:colOff>
                <xdr:row>8</xdr:row>
                <xdr:rowOff>219075</xdr:rowOff>
              </to>
            </anchor>
          </objectPr>
        </oleObject>
      </mc:Choice>
      <mc:Fallback>
        <oleObject progId="Equation.3" shapeId="45080" r:id="rId29"/>
      </mc:Fallback>
    </mc:AlternateContent>
    <mc:AlternateContent xmlns:mc="http://schemas.openxmlformats.org/markup-compatibility/2006">
      <mc:Choice Requires="x14">
        <oleObject progId="Equation.3" shapeId="45081" r:id="rId30">
          <objectPr defaultSize="0" r:id="rId28">
            <anchor moveWithCells="1" sizeWithCells="1">
              <from>
                <xdr:col>14</xdr:col>
                <xdr:colOff>180975</xdr:colOff>
                <xdr:row>8</xdr:row>
                <xdr:rowOff>47625</xdr:rowOff>
              </from>
              <to>
                <xdr:col>14</xdr:col>
                <xdr:colOff>333375</xdr:colOff>
                <xdr:row>8</xdr:row>
                <xdr:rowOff>219075</xdr:rowOff>
              </to>
            </anchor>
          </objectPr>
        </oleObject>
      </mc:Choice>
      <mc:Fallback>
        <oleObject progId="Equation.3" shapeId="45081" r:id="rId30"/>
      </mc:Fallback>
    </mc:AlternateContent>
    <mc:AlternateContent xmlns:mc="http://schemas.openxmlformats.org/markup-compatibility/2006">
      <mc:Choice Requires="x14">
        <oleObject progId="Equation.3" shapeId="45082" r:id="rId31">
          <objectPr defaultSize="0" r:id="rId32">
            <anchor moveWithCells="1" sizeWithCells="1">
              <from>
                <xdr:col>5</xdr:col>
                <xdr:colOff>142875</xdr:colOff>
                <xdr:row>8</xdr:row>
                <xdr:rowOff>28575</xdr:rowOff>
              </from>
              <to>
                <xdr:col>5</xdr:col>
                <xdr:colOff>371475</xdr:colOff>
                <xdr:row>9</xdr:row>
                <xdr:rowOff>0</xdr:rowOff>
              </to>
            </anchor>
          </objectPr>
        </oleObject>
      </mc:Choice>
      <mc:Fallback>
        <oleObject progId="Equation.3" shapeId="45082" r:id="rId31"/>
      </mc:Fallback>
    </mc:AlternateContent>
    <mc:AlternateContent xmlns:mc="http://schemas.openxmlformats.org/markup-compatibility/2006">
      <mc:Choice Requires="x14">
        <oleObject progId="Equation.3" shapeId="45083" r:id="rId33">
          <objectPr defaultSize="0" r:id="rId32">
            <anchor moveWithCells="1" sizeWithCells="1">
              <from>
                <xdr:col>10</xdr:col>
                <xdr:colOff>142875</xdr:colOff>
                <xdr:row>8</xdr:row>
                <xdr:rowOff>28575</xdr:rowOff>
              </from>
              <to>
                <xdr:col>10</xdr:col>
                <xdr:colOff>371475</xdr:colOff>
                <xdr:row>9</xdr:row>
                <xdr:rowOff>0</xdr:rowOff>
              </to>
            </anchor>
          </objectPr>
        </oleObject>
      </mc:Choice>
      <mc:Fallback>
        <oleObject progId="Equation.3" shapeId="45083" r:id="rId33"/>
      </mc:Fallback>
    </mc:AlternateContent>
    <mc:AlternateContent xmlns:mc="http://schemas.openxmlformats.org/markup-compatibility/2006">
      <mc:Choice Requires="x14">
        <oleObject progId="Equation.3" shapeId="45084" r:id="rId34">
          <objectPr defaultSize="0" r:id="rId35">
            <anchor moveWithCells="1" sizeWithCells="1">
              <from>
                <xdr:col>16</xdr:col>
                <xdr:colOff>152400</xdr:colOff>
                <xdr:row>8</xdr:row>
                <xdr:rowOff>28575</xdr:rowOff>
              </from>
              <to>
                <xdr:col>16</xdr:col>
                <xdr:colOff>381000</xdr:colOff>
                <xdr:row>9</xdr:row>
                <xdr:rowOff>0</xdr:rowOff>
              </to>
            </anchor>
          </objectPr>
        </oleObject>
      </mc:Choice>
      <mc:Fallback>
        <oleObject progId="Equation.3" shapeId="45084" r:id="rId34"/>
      </mc:Fallback>
    </mc:AlternateContent>
    <mc:AlternateContent xmlns:mc="http://schemas.openxmlformats.org/markup-compatibility/2006">
      <mc:Choice Requires="x14">
        <oleObject progId="Equation.3" shapeId="45085" r:id="rId36">
          <objectPr defaultSize="0" autoPict="0" r:id="rId37">
            <anchor moveWithCells="1" sizeWithCells="1">
              <from>
                <xdr:col>4</xdr:col>
                <xdr:colOff>114300</xdr:colOff>
                <xdr:row>22</xdr:row>
                <xdr:rowOff>19050</xdr:rowOff>
              </from>
              <to>
                <xdr:col>7</xdr:col>
                <xdr:colOff>19050</xdr:colOff>
                <xdr:row>23</xdr:row>
                <xdr:rowOff>0</xdr:rowOff>
              </to>
            </anchor>
          </objectPr>
        </oleObject>
      </mc:Choice>
      <mc:Fallback>
        <oleObject progId="Equation.3" shapeId="45085" r:id="rId36"/>
      </mc:Fallback>
    </mc:AlternateContent>
    <mc:AlternateContent xmlns:mc="http://schemas.openxmlformats.org/markup-compatibility/2006">
      <mc:Choice Requires="x14">
        <oleObject progId="Equation.3" shapeId="45086" r:id="rId38">
          <objectPr defaultSize="0" autoPict="0" r:id="rId39">
            <anchor moveWithCells="1" sizeWithCells="1">
              <from>
                <xdr:col>4</xdr:col>
                <xdr:colOff>95250</xdr:colOff>
                <xdr:row>23</xdr:row>
                <xdr:rowOff>19050</xdr:rowOff>
              </from>
              <to>
                <xdr:col>8</xdr:col>
                <xdr:colOff>495300</xdr:colOff>
                <xdr:row>24</xdr:row>
                <xdr:rowOff>0</xdr:rowOff>
              </to>
            </anchor>
          </objectPr>
        </oleObject>
      </mc:Choice>
      <mc:Fallback>
        <oleObject progId="Equation.3" shapeId="45086" r:id="rId38"/>
      </mc:Fallback>
    </mc:AlternateContent>
    <mc:AlternateContent xmlns:mc="http://schemas.openxmlformats.org/markup-compatibility/2006">
      <mc:Choice Requires="x14">
        <oleObject progId="Equation.3" shapeId="45087" r:id="rId40">
          <objectPr defaultSize="0" autoPict="0" r:id="rId41">
            <anchor moveWithCells="1" sizeWithCells="1">
              <from>
                <xdr:col>4</xdr:col>
                <xdr:colOff>104775</xdr:colOff>
                <xdr:row>24</xdr:row>
                <xdr:rowOff>9525</xdr:rowOff>
              </from>
              <to>
                <xdr:col>6</xdr:col>
                <xdr:colOff>9525</xdr:colOff>
                <xdr:row>25</xdr:row>
                <xdr:rowOff>0</xdr:rowOff>
              </to>
            </anchor>
          </objectPr>
        </oleObject>
      </mc:Choice>
      <mc:Fallback>
        <oleObject progId="Equation.3" shapeId="45087" r:id="rId40"/>
      </mc:Fallback>
    </mc:AlternateContent>
    <mc:AlternateContent xmlns:mc="http://schemas.openxmlformats.org/markup-compatibility/2006">
      <mc:Choice Requires="x14">
        <oleObject progId="Equation.3" shapeId="45088" r:id="rId42">
          <objectPr defaultSize="0" autoPict="0" r:id="rId43">
            <anchor moveWithCells="1" sizeWithCells="1">
              <from>
                <xdr:col>13</xdr:col>
                <xdr:colOff>9525</xdr:colOff>
                <xdr:row>22</xdr:row>
                <xdr:rowOff>28575</xdr:rowOff>
              </from>
              <to>
                <xdr:col>15</xdr:col>
                <xdr:colOff>9525</xdr:colOff>
                <xdr:row>23</xdr:row>
                <xdr:rowOff>0</xdr:rowOff>
              </to>
            </anchor>
          </objectPr>
        </oleObject>
      </mc:Choice>
      <mc:Fallback>
        <oleObject progId="Equation.3" shapeId="45088" r:id="rId42"/>
      </mc:Fallback>
    </mc:AlternateContent>
    <mc:AlternateContent xmlns:mc="http://schemas.openxmlformats.org/markup-compatibility/2006">
      <mc:Choice Requires="x14">
        <oleObject progId="Equation.3" shapeId="45089" r:id="rId44">
          <objectPr defaultSize="0" autoPict="0" r:id="rId45">
            <anchor moveWithCells="1" sizeWithCells="1">
              <from>
                <xdr:col>13</xdr:col>
                <xdr:colOff>66675</xdr:colOff>
                <xdr:row>23</xdr:row>
                <xdr:rowOff>9525</xdr:rowOff>
              </from>
              <to>
                <xdr:col>14</xdr:col>
                <xdr:colOff>323850</xdr:colOff>
                <xdr:row>24</xdr:row>
                <xdr:rowOff>0</xdr:rowOff>
              </to>
            </anchor>
          </objectPr>
        </oleObject>
      </mc:Choice>
      <mc:Fallback>
        <oleObject progId="Equation.3" shapeId="45089" r:id="rId44"/>
      </mc:Fallback>
    </mc:AlternateContent>
    <mc:AlternateContent xmlns:mc="http://schemas.openxmlformats.org/markup-compatibility/2006">
      <mc:Choice Requires="x14">
        <oleObject progId="Equation.3" shapeId="45090" r:id="rId46">
          <objectPr defaultSize="0" autoPict="0" r:id="rId47">
            <anchor moveWithCells="1" sizeWithCells="1">
              <from>
                <xdr:col>13</xdr:col>
                <xdr:colOff>19050</xdr:colOff>
                <xdr:row>24</xdr:row>
                <xdr:rowOff>19050</xdr:rowOff>
              </from>
              <to>
                <xdr:col>14</xdr:col>
                <xdr:colOff>419100</xdr:colOff>
                <xdr:row>25</xdr:row>
                <xdr:rowOff>0</xdr:rowOff>
              </to>
            </anchor>
          </objectPr>
        </oleObject>
      </mc:Choice>
      <mc:Fallback>
        <oleObject progId="Equation.3" shapeId="45090" r:id="rId46"/>
      </mc:Fallback>
    </mc:AlternateContent>
    <mc:AlternateContent xmlns:mc="http://schemas.openxmlformats.org/markup-compatibility/2006">
      <mc:Choice Requires="x14">
        <oleObject progId="Equation.3" shapeId="45091" r:id="rId48">
          <objectPr defaultSize="0" autoPict="0" r:id="rId49">
            <anchor moveWithCells="1" sizeWithCells="1">
              <from>
                <xdr:col>15</xdr:col>
                <xdr:colOff>19050</xdr:colOff>
                <xdr:row>22</xdr:row>
                <xdr:rowOff>28575</xdr:rowOff>
              </from>
              <to>
                <xdr:col>16</xdr:col>
                <xdr:colOff>485775</xdr:colOff>
                <xdr:row>23</xdr:row>
                <xdr:rowOff>0</xdr:rowOff>
              </to>
            </anchor>
          </objectPr>
        </oleObject>
      </mc:Choice>
      <mc:Fallback>
        <oleObject progId="Equation.3" shapeId="45091" r:id="rId48"/>
      </mc:Fallback>
    </mc:AlternateContent>
    <mc:AlternateContent xmlns:mc="http://schemas.openxmlformats.org/markup-compatibility/2006">
      <mc:Choice Requires="x14">
        <oleObject progId="Equation.3" shapeId="45092" r:id="rId50">
          <objectPr defaultSize="0" autoPict="0" r:id="rId51">
            <anchor moveWithCells="1" sizeWithCells="1">
              <from>
                <xdr:col>15</xdr:col>
                <xdr:colOff>28575</xdr:colOff>
                <xdr:row>23</xdr:row>
                <xdr:rowOff>19050</xdr:rowOff>
              </from>
              <to>
                <xdr:col>16</xdr:col>
                <xdr:colOff>533400</xdr:colOff>
                <xdr:row>24</xdr:row>
                <xdr:rowOff>0</xdr:rowOff>
              </to>
            </anchor>
          </objectPr>
        </oleObject>
      </mc:Choice>
      <mc:Fallback>
        <oleObject progId="Equation.3" shapeId="45092" r:id="rId50"/>
      </mc:Fallback>
    </mc:AlternateContent>
    <mc:AlternateContent xmlns:mc="http://schemas.openxmlformats.org/markup-compatibility/2006">
      <mc:Choice Requires="x14">
        <oleObject progId="Equation.3" shapeId="45093" r:id="rId52">
          <objectPr defaultSize="0" autoPict="0" r:id="rId53">
            <anchor moveWithCells="1" sizeWithCells="1">
              <from>
                <xdr:col>15</xdr:col>
                <xdr:colOff>19050</xdr:colOff>
                <xdr:row>24</xdr:row>
                <xdr:rowOff>28575</xdr:rowOff>
              </from>
              <to>
                <xdr:col>16</xdr:col>
                <xdr:colOff>514350</xdr:colOff>
                <xdr:row>25</xdr:row>
                <xdr:rowOff>0</xdr:rowOff>
              </to>
            </anchor>
          </objectPr>
        </oleObject>
      </mc:Choice>
      <mc:Fallback>
        <oleObject progId="Equation.3" shapeId="45093" r:id="rId52"/>
      </mc:Fallback>
    </mc:AlternateContent>
    <mc:AlternateContent xmlns:mc="http://schemas.openxmlformats.org/markup-compatibility/2006">
      <mc:Choice Requires="x14">
        <oleObject progId="Equation.3" shapeId="45094" r:id="rId54">
          <objectPr defaultSize="0" autoPict="0" r:id="rId55">
            <anchor moveWithCells="1" sizeWithCells="1">
              <from>
                <xdr:col>4</xdr:col>
                <xdr:colOff>28575</xdr:colOff>
                <xdr:row>37</xdr:row>
                <xdr:rowOff>0</xdr:rowOff>
              </from>
              <to>
                <xdr:col>5</xdr:col>
                <xdr:colOff>285750</xdr:colOff>
                <xdr:row>38</xdr:row>
                <xdr:rowOff>9525</xdr:rowOff>
              </to>
            </anchor>
          </objectPr>
        </oleObject>
      </mc:Choice>
      <mc:Fallback>
        <oleObject progId="Equation.3" shapeId="45094" r:id="rId54"/>
      </mc:Fallback>
    </mc:AlternateContent>
    <mc:AlternateContent xmlns:mc="http://schemas.openxmlformats.org/markup-compatibility/2006">
      <mc:Choice Requires="x14">
        <oleObject progId="Equation.3" shapeId="45095" r:id="rId56">
          <objectPr defaultSize="0" autoPict="0" r:id="rId57">
            <anchor moveWithCells="1" sizeWithCells="1">
              <from>
                <xdr:col>4</xdr:col>
                <xdr:colOff>28575</xdr:colOff>
                <xdr:row>41</xdr:row>
                <xdr:rowOff>0</xdr:rowOff>
              </from>
              <to>
                <xdr:col>7</xdr:col>
                <xdr:colOff>19050</xdr:colOff>
                <xdr:row>41</xdr:row>
                <xdr:rowOff>228600</xdr:rowOff>
              </to>
            </anchor>
          </objectPr>
        </oleObject>
      </mc:Choice>
      <mc:Fallback>
        <oleObject progId="Equation.3" shapeId="45095" r:id="rId56"/>
      </mc:Fallback>
    </mc:AlternateContent>
    <mc:AlternateContent xmlns:mc="http://schemas.openxmlformats.org/markup-compatibility/2006">
      <mc:Choice Requires="x14">
        <oleObject progId="Equation.3" shapeId="45096" r:id="rId58">
          <objectPr defaultSize="0" autoPict="0" r:id="rId59">
            <anchor moveWithCells="1" sizeWithCells="1">
              <from>
                <xdr:col>4</xdr:col>
                <xdr:colOff>38100</xdr:colOff>
                <xdr:row>43</xdr:row>
                <xdr:rowOff>19050</xdr:rowOff>
              </from>
              <to>
                <xdr:col>5</xdr:col>
                <xdr:colOff>361950</xdr:colOff>
                <xdr:row>44</xdr:row>
                <xdr:rowOff>9525</xdr:rowOff>
              </to>
            </anchor>
          </objectPr>
        </oleObject>
      </mc:Choice>
      <mc:Fallback>
        <oleObject progId="Equation.3" shapeId="45096" r:id="rId58"/>
      </mc:Fallback>
    </mc:AlternateContent>
    <mc:AlternateContent xmlns:mc="http://schemas.openxmlformats.org/markup-compatibility/2006">
      <mc:Choice Requires="x14">
        <oleObject progId="Equation.3" shapeId="45097" r:id="rId60">
          <objectPr defaultSize="0" autoPict="0" r:id="rId61">
            <anchor moveWithCells="1" sizeWithCells="1">
              <from>
                <xdr:col>4</xdr:col>
                <xdr:colOff>28575</xdr:colOff>
                <xdr:row>45</xdr:row>
                <xdr:rowOff>9525</xdr:rowOff>
              </from>
              <to>
                <xdr:col>6</xdr:col>
                <xdr:colOff>504825</xdr:colOff>
                <xdr:row>45</xdr:row>
                <xdr:rowOff>219075</xdr:rowOff>
              </to>
            </anchor>
          </objectPr>
        </oleObject>
      </mc:Choice>
      <mc:Fallback>
        <oleObject progId="Equation.3" shapeId="45097" r:id="rId60"/>
      </mc:Fallback>
    </mc:AlternateContent>
    <mc:AlternateContent xmlns:mc="http://schemas.openxmlformats.org/markup-compatibility/2006">
      <mc:Choice Requires="x14">
        <oleObject progId="Equation.3" shapeId="45098" r:id="rId62">
          <objectPr defaultSize="0" autoPict="0" r:id="rId63">
            <anchor moveWithCells="1" sizeWithCells="1">
              <from>
                <xdr:col>4</xdr:col>
                <xdr:colOff>19050</xdr:colOff>
                <xdr:row>39</xdr:row>
                <xdr:rowOff>19050</xdr:rowOff>
              </from>
              <to>
                <xdr:col>7</xdr:col>
                <xdr:colOff>9525</xdr:colOff>
                <xdr:row>39</xdr:row>
                <xdr:rowOff>228600</xdr:rowOff>
              </to>
            </anchor>
          </objectPr>
        </oleObject>
      </mc:Choice>
      <mc:Fallback>
        <oleObject progId="Equation.3" shapeId="45098" r:id="rId62"/>
      </mc:Fallback>
    </mc:AlternateContent>
    <mc:AlternateContent xmlns:mc="http://schemas.openxmlformats.org/markup-compatibility/2006">
      <mc:Choice Requires="x14">
        <oleObject progId="Equation.3" shapeId="45099" r:id="rId64">
          <objectPr defaultSize="0" r:id="rId32">
            <anchor moveWithCells="1" sizeWithCells="1">
              <from>
                <xdr:col>15</xdr:col>
                <xdr:colOff>142875</xdr:colOff>
                <xdr:row>8</xdr:row>
                <xdr:rowOff>28575</xdr:rowOff>
              </from>
              <to>
                <xdr:col>15</xdr:col>
                <xdr:colOff>371475</xdr:colOff>
                <xdr:row>9</xdr:row>
                <xdr:rowOff>0</xdr:rowOff>
              </to>
            </anchor>
          </objectPr>
        </oleObject>
      </mc:Choice>
      <mc:Fallback>
        <oleObject progId="Equation.3" shapeId="45099" r:id="rId64"/>
      </mc:Fallback>
    </mc:AlternateContent>
    <mc:AlternateContent xmlns:mc="http://schemas.openxmlformats.org/markup-compatibility/2006">
      <mc:Choice Requires="x14">
        <oleObject progId="Equation.3" shapeId="45100" r:id="rId65">
          <objectPr defaultSize="0" r:id="rId66">
            <anchor moveWithCells="1" sizeWithCells="1">
              <from>
                <xdr:col>5</xdr:col>
                <xdr:colOff>161925</xdr:colOff>
                <xdr:row>21</xdr:row>
                <xdr:rowOff>38100</xdr:rowOff>
              </from>
              <to>
                <xdr:col>5</xdr:col>
                <xdr:colOff>390525</xdr:colOff>
                <xdr:row>22</xdr:row>
                <xdr:rowOff>0</xdr:rowOff>
              </to>
            </anchor>
          </objectPr>
        </oleObject>
      </mc:Choice>
      <mc:Fallback>
        <oleObject progId="Equation.3" shapeId="45100" r:id="rId65"/>
      </mc:Fallback>
    </mc:AlternateContent>
    <mc:AlternateContent xmlns:mc="http://schemas.openxmlformats.org/markup-compatibility/2006">
      <mc:Choice Requires="x14">
        <oleObject progId="Equation.3" shapeId="45101" r:id="rId67">
          <objectPr defaultSize="0" autoPict="0" r:id="rId68">
            <anchor moveWithCells="1" sizeWithCells="1">
              <from>
                <xdr:col>13</xdr:col>
                <xdr:colOff>428625</xdr:colOff>
                <xdr:row>57</xdr:row>
                <xdr:rowOff>0</xdr:rowOff>
              </from>
              <to>
                <xdr:col>14</xdr:col>
                <xdr:colOff>114300</xdr:colOff>
                <xdr:row>58</xdr:row>
                <xdr:rowOff>38100</xdr:rowOff>
              </to>
            </anchor>
          </objectPr>
        </oleObject>
      </mc:Choice>
      <mc:Fallback>
        <oleObject progId="Equation.3" shapeId="45101" r:id="rId67"/>
      </mc:Fallback>
    </mc:AlternateContent>
    <mc:AlternateContent xmlns:mc="http://schemas.openxmlformats.org/markup-compatibility/2006">
      <mc:Choice Requires="x14">
        <oleObject progId="Equation.3" shapeId="45102" r:id="rId69">
          <objectPr defaultSize="0" r:id="rId6">
            <anchor moveWithCells="1" sizeWithCells="1">
              <from>
                <xdr:col>13</xdr:col>
                <xdr:colOff>447675</xdr:colOff>
                <xdr:row>58</xdr:row>
                <xdr:rowOff>9525</xdr:rowOff>
              </from>
              <to>
                <xdr:col>14</xdr:col>
                <xdr:colOff>76200</xdr:colOff>
                <xdr:row>58</xdr:row>
                <xdr:rowOff>228600</xdr:rowOff>
              </to>
            </anchor>
          </objectPr>
        </oleObject>
      </mc:Choice>
      <mc:Fallback>
        <oleObject progId="Equation.3" shapeId="45102" r:id="rId69"/>
      </mc:Fallback>
    </mc:AlternateContent>
    <mc:AlternateContent xmlns:mc="http://schemas.openxmlformats.org/markup-compatibility/2006">
      <mc:Choice Requires="x14">
        <oleObject progId="Equation.3" shapeId="45103" r:id="rId70">
          <objectPr defaultSize="0" r:id="rId28">
            <anchor moveWithCells="1" sizeWithCells="1">
              <from>
                <xdr:col>4</xdr:col>
                <xdr:colOff>180975</xdr:colOff>
                <xdr:row>8</xdr:row>
                <xdr:rowOff>47625</xdr:rowOff>
              </from>
              <to>
                <xdr:col>4</xdr:col>
                <xdr:colOff>333375</xdr:colOff>
                <xdr:row>8</xdr:row>
                <xdr:rowOff>219075</xdr:rowOff>
              </to>
            </anchor>
          </objectPr>
        </oleObject>
      </mc:Choice>
      <mc:Fallback>
        <oleObject progId="Equation.3" shapeId="45103" r:id="rId70"/>
      </mc:Fallback>
    </mc:AlternateContent>
    <mc:AlternateContent xmlns:mc="http://schemas.openxmlformats.org/markup-compatibility/2006">
      <mc:Choice Requires="x14">
        <oleObject progId="Equation.3" shapeId="45104" r:id="rId71">
          <objectPr defaultSize="0" r:id="rId28">
            <anchor moveWithCells="1" sizeWithCells="1">
              <from>
                <xdr:col>9</xdr:col>
                <xdr:colOff>180975</xdr:colOff>
                <xdr:row>8</xdr:row>
                <xdr:rowOff>47625</xdr:rowOff>
              </from>
              <to>
                <xdr:col>9</xdr:col>
                <xdr:colOff>333375</xdr:colOff>
                <xdr:row>8</xdr:row>
                <xdr:rowOff>219075</xdr:rowOff>
              </to>
            </anchor>
          </objectPr>
        </oleObject>
      </mc:Choice>
      <mc:Fallback>
        <oleObject progId="Equation.3" shapeId="45104" r:id="rId71"/>
      </mc:Fallback>
    </mc:AlternateContent>
    <mc:AlternateContent xmlns:mc="http://schemas.openxmlformats.org/markup-compatibility/2006">
      <mc:Choice Requires="x14">
        <oleObject progId="Equation.3" shapeId="45105" r:id="rId72">
          <objectPr defaultSize="0" r:id="rId28">
            <anchor moveWithCells="1" sizeWithCells="1">
              <from>
                <xdr:col>14</xdr:col>
                <xdr:colOff>180975</xdr:colOff>
                <xdr:row>8</xdr:row>
                <xdr:rowOff>47625</xdr:rowOff>
              </from>
              <to>
                <xdr:col>14</xdr:col>
                <xdr:colOff>333375</xdr:colOff>
                <xdr:row>8</xdr:row>
                <xdr:rowOff>219075</xdr:rowOff>
              </to>
            </anchor>
          </objectPr>
        </oleObject>
      </mc:Choice>
      <mc:Fallback>
        <oleObject progId="Equation.3" shapeId="45105" r:id="rId72"/>
      </mc:Fallback>
    </mc:AlternateContent>
    <mc:AlternateContent xmlns:mc="http://schemas.openxmlformats.org/markup-compatibility/2006">
      <mc:Choice Requires="x14">
        <oleObject progId="Equation.3" shapeId="45106" r:id="rId73">
          <objectPr defaultSize="0" r:id="rId32">
            <anchor moveWithCells="1" sizeWithCells="1">
              <from>
                <xdr:col>5</xdr:col>
                <xdr:colOff>142875</xdr:colOff>
                <xdr:row>8</xdr:row>
                <xdr:rowOff>28575</xdr:rowOff>
              </from>
              <to>
                <xdr:col>5</xdr:col>
                <xdr:colOff>371475</xdr:colOff>
                <xdr:row>9</xdr:row>
                <xdr:rowOff>0</xdr:rowOff>
              </to>
            </anchor>
          </objectPr>
        </oleObject>
      </mc:Choice>
      <mc:Fallback>
        <oleObject progId="Equation.3" shapeId="45106" r:id="rId73"/>
      </mc:Fallback>
    </mc:AlternateContent>
    <mc:AlternateContent xmlns:mc="http://schemas.openxmlformats.org/markup-compatibility/2006">
      <mc:Choice Requires="x14">
        <oleObject progId="Equation.3" shapeId="45107" r:id="rId74">
          <objectPr defaultSize="0" r:id="rId32">
            <anchor moveWithCells="1" sizeWithCells="1">
              <from>
                <xdr:col>10</xdr:col>
                <xdr:colOff>142875</xdr:colOff>
                <xdr:row>8</xdr:row>
                <xdr:rowOff>28575</xdr:rowOff>
              </from>
              <to>
                <xdr:col>10</xdr:col>
                <xdr:colOff>371475</xdr:colOff>
                <xdr:row>9</xdr:row>
                <xdr:rowOff>0</xdr:rowOff>
              </to>
            </anchor>
          </objectPr>
        </oleObject>
      </mc:Choice>
      <mc:Fallback>
        <oleObject progId="Equation.3" shapeId="45107" r:id="rId74"/>
      </mc:Fallback>
    </mc:AlternateContent>
    <mc:AlternateContent xmlns:mc="http://schemas.openxmlformats.org/markup-compatibility/2006">
      <mc:Choice Requires="x14">
        <oleObject progId="Equation.3" shapeId="45108" r:id="rId75">
          <objectPr defaultSize="0" r:id="rId35">
            <anchor moveWithCells="1" sizeWithCells="1">
              <from>
                <xdr:col>16</xdr:col>
                <xdr:colOff>152400</xdr:colOff>
                <xdr:row>8</xdr:row>
                <xdr:rowOff>28575</xdr:rowOff>
              </from>
              <to>
                <xdr:col>16</xdr:col>
                <xdr:colOff>381000</xdr:colOff>
                <xdr:row>9</xdr:row>
                <xdr:rowOff>0</xdr:rowOff>
              </to>
            </anchor>
          </objectPr>
        </oleObject>
      </mc:Choice>
      <mc:Fallback>
        <oleObject progId="Equation.3" shapeId="45108" r:id="rId75"/>
      </mc:Fallback>
    </mc:AlternateContent>
    <mc:AlternateContent xmlns:mc="http://schemas.openxmlformats.org/markup-compatibility/2006">
      <mc:Choice Requires="x14">
        <oleObject progId="Equation.3" shapeId="45109" r:id="rId76">
          <objectPr defaultSize="0" r:id="rId32">
            <anchor moveWithCells="1" sizeWithCells="1">
              <from>
                <xdr:col>15</xdr:col>
                <xdr:colOff>142875</xdr:colOff>
                <xdr:row>8</xdr:row>
                <xdr:rowOff>28575</xdr:rowOff>
              </from>
              <to>
                <xdr:col>15</xdr:col>
                <xdr:colOff>371475</xdr:colOff>
                <xdr:row>9</xdr:row>
                <xdr:rowOff>0</xdr:rowOff>
              </to>
            </anchor>
          </objectPr>
        </oleObject>
      </mc:Choice>
      <mc:Fallback>
        <oleObject progId="Equation.3" shapeId="45109" r:id="rId76"/>
      </mc:Fallback>
    </mc:AlternateContent>
    <mc:AlternateContent xmlns:mc="http://schemas.openxmlformats.org/markup-compatibility/2006">
      <mc:Choice Requires="x14">
        <oleObject progId="Equation.3" shapeId="45110" r:id="rId77">
          <objectPr defaultSize="0" r:id="rId24">
            <anchor moveWithCells="1" sizeWithCells="1">
              <from>
                <xdr:col>10</xdr:col>
                <xdr:colOff>142875</xdr:colOff>
                <xdr:row>21</xdr:row>
                <xdr:rowOff>38100</xdr:rowOff>
              </from>
              <to>
                <xdr:col>10</xdr:col>
                <xdr:colOff>361950</xdr:colOff>
                <xdr:row>22</xdr:row>
                <xdr:rowOff>9525</xdr:rowOff>
              </to>
            </anchor>
          </objectPr>
        </oleObject>
      </mc:Choice>
      <mc:Fallback>
        <oleObject progId="Equation.3" shapeId="45110" r:id="rId77"/>
      </mc:Fallback>
    </mc:AlternateContent>
    <mc:AlternateContent xmlns:mc="http://schemas.openxmlformats.org/markup-compatibility/2006">
      <mc:Choice Requires="x14">
        <oleObject progId="Equation.3" shapeId="45111" r:id="rId78">
          <objectPr defaultSize="0" autoPict="0" r:id="rId55">
            <anchor moveWithCells="1" sizeWithCells="1">
              <from>
                <xdr:col>4</xdr:col>
                <xdr:colOff>28575</xdr:colOff>
                <xdr:row>37</xdr:row>
                <xdr:rowOff>0</xdr:rowOff>
              </from>
              <to>
                <xdr:col>5</xdr:col>
                <xdr:colOff>285750</xdr:colOff>
                <xdr:row>38</xdr:row>
                <xdr:rowOff>9525</xdr:rowOff>
              </to>
            </anchor>
          </objectPr>
        </oleObject>
      </mc:Choice>
      <mc:Fallback>
        <oleObject progId="Equation.3" shapeId="45111" r:id="rId78"/>
      </mc:Fallback>
    </mc:AlternateContent>
    <mc:AlternateContent xmlns:mc="http://schemas.openxmlformats.org/markup-compatibility/2006">
      <mc:Choice Requires="x14">
        <oleObject progId="Equation.3" shapeId="45112" r:id="rId79">
          <objectPr defaultSize="0" autoPict="0" r:id="rId59">
            <anchor moveWithCells="1" sizeWithCells="1">
              <from>
                <xdr:col>4</xdr:col>
                <xdr:colOff>38100</xdr:colOff>
                <xdr:row>43</xdr:row>
                <xdr:rowOff>19050</xdr:rowOff>
              </from>
              <to>
                <xdr:col>5</xdr:col>
                <xdr:colOff>361950</xdr:colOff>
                <xdr:row>44</xdr:row>
                <xdr:rowOff>9525</xdr:rowOff>
              </to>
            </anchor>
          </objectPr>
        </oleObject>
      </mc:Choice>
      <mc:Fallback>
        <oleObject progId="Equation.3" shapeId="45112" r:id="rId79"/>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R26"/>
  <sheetViews>
    <sheetView view="pageBreakPreview" zoomScale="60" zoomScaleNormal="80" workbookViewId="0">
      <selection activeCell="F11" sqref="F11:H11"/>
    </sheetView>
  </sheetViews>
  <sheetFormatPr defaultRowHeight="15"/>
  <cols>
    <col min="1" max="1" width="4.140625" style="1046" customWidth="1"/>
    <col min="2" max="3" width="9.140625" style="1046"/>
    <col min="4" max="4" width="5.42578125" style="1046" customWidth="1"/>
    <col min="5" max="5" width="2.140625" style="1046" customWidth="1"/>
    <col min="6" max="7" width="9.140625" style="1046"/>
    <col min="8" max="8" width="10.85546875" style="1046" customWidth="1"/>
    <col min="9" max="9" width="18.85546875" style="1046" customWidth="1"/>
    <col min="10" max="10" width="21.42578125" style="1046" customWidth="1"/>
    <col min="11" max="11" width="9.42578125" style="1046" customWidth="1"/>
    <col min="12" max="12" width="27" style="1046" customWidth="1"/>
    <col min="13" max="13" width="32.42578125" style="1046" customWidth="1"/>
    <col min="14" max="15" width="11.42578125" style="1046" bestFit="1" customWidth="1"/>
    <col min="16" max="16384" width="9.140625" style="1046"/>
  </cols>
  <sheetData>
    <row r="4" spans="1:18" ht="15.75" thickBot="1"/>
    <row r="5" spans="1:18" ht="21" customHeight="1" thickTop="1" thickBot="1">
      <c r="A5" s="1236" t="s">
        <v>795</v>
      </c>
      <c r="B5" s="1236"/>
      <c r="C5" s="1236"/>
      <c r="D5" s="1236"/>
      <c r="E5" s="1236"/>
      <c r="F5" s="1236"/>
      <c r="G5" s="1236"/>
      <c r="H5" s="1236"/>
      <c r="I5" s="1236"/>
      <c r="J5" s="1236"/>
      <c r="K5" s="1236"/>
      <c r="L5" s="1236"/>
      <c r="M5" s="1236"/>
    </row>
    <row r="6" spans="1:18" ht="17.25" thickTop="1" thickBot="1">
      <c r="A6" s="1238" t="s">
        <v>794</v>
      </c>
      <c r="B6" s="1239"/>
      <c r="C6" s="1239"/>
      <c r="D6" s="1239"/>
      <c r="E6" s="1239"/>
      <c r="F6" s="1239"/>
      <c r="G6" s="1239"/>
      <c r="H6" s="1239"/>
      <c r="I6" s="1239"/>
      <c r="J6" s="1237" t="s">
        <v>793</v>
      </c>
      <c r="K6" s="1237"/>
      <c r="L6" s="1051" t="s">
        <v>792</v>
      </c>
      <c r="M6" s="1050"/>
    </row>
    <row r="7" spans="1:18" ht="15.6" customHeight="1" thickTop="1" thickBot="1">
      <c r="A7" s="1238" t="s">
        <v>791</v>
      </c>
      <c r="B7" s="1239"/>
      <c r="C7" s="1239"/>
      <c r="D7" s="1239"/>
      <c r="E7" s="1239"/>
      <c r="F7" s="1239"/>
      <c r="G7" s="1239"/>
      <c r="H7" s="1239"/>
      <c r="I7" s="1239"/>
      <c r="J7" s="1237" t="s">
        <v>669</v>
      </c>
      <c r="K7" s="1237"/>
      <c r="L7" s="1051" t="s">
        <v>790</v>
      </c>
      <c r="M7" s="1050"/>
    </row>
    <row r="8" spans="1:18" ht="17.25" thickTop="1" thickBot="1">
      <c r="A8" s="1238" t="s">
        <v>789</v>
      </c>
      <c r="B8" s="1239"/>
      <c r="C8" s="1239"/>
      <c r="D8" s="1239"/>
      <c r="E8" s="1239"/>
      <c r="F8" s="1239"/>
      <c r="G8" s="1239"/>
      <c r="H8" s="1239"/>
      <c r="I8" s="1239"/>
      <c r="J8" s="1237" t="s">
        <v>668</v>
      </c>
      <c r="K8" s="1237"/>
      <c r="L8" s="1051" t="s">
        <v>788</v>
      </c>
      <c r="M8" s="1050"/>
    </row>
    <row r="9" spans="1:18" ht="17.25" thickTop="1" thickBot="1">
      <c r="A9" s="1238"/>
      <c r="B9" s="1239"/>
      <c r="C9" s="1239"/>
      <c r="D9" s="1239"/>
      <c r="E9" s="1239"/>
      <c r="F9" s="1240"/>
      <c r="G9" s="1240"/>
      <c r="H9" s="1240"/>
      <c r="I9" s="1239"/>
      <c r="J9" s="1237" t="s">
        <v>787</v>
      </c>
      <c r="K9" s="1237"/>
      <c r="L9" s="1051" t="s">
        <v>786</v>
      </c>
      <c r="M9" s="1050"/>
    </row>
    <row r="10" spans="1:18" ht="28.35" customHeight="1" thickTop="1">
      <c r="A10" s="1049" t="s">
        <v>785</v>
      </c>
      <c r="B10" s="1241" t="s">
        <v>784</v>
      </c>
      <c r="C10" s="1242"/>
      <c r="D10" s="1242"/>
      <c r="E10" s="1243"/>
      <c r="F10" s="1241" t="s">
        <v>783</v>
      </c>
      <c r="G10" s="1242"/>
      <c r="H10" s="1242"/>
      <c r="I10" s="1234" t="s">
        <v>667</v>
      </c>
      <c r="J10" s="1235"/>
      <c r="K10" s="1234" t="s">
        <v>782</v>
      </c>
      <c r="L10" s="1235"/>
      <c r="M10" s="1049" t="s">
        <v>294</v>
      </c>
    </row>
    <row r="11" spans="1:18" s="1047" customFormat="1" ht="190.7" customHeight="1">
      <c r="A11" s="1048">
        <v>1</v>
      </c>
      <c r="B11" s="1231" t="s">
        <v>781</v>
      </c>
      <c r="C11" s="1231"/>
      <c r="D11" s="1231"/>
      <c r="E11" s="1231"/>
      <c r="F11" s="1230">
        <v>37</v>
      </c>
      <c r="G11" s="1230"/>
      <c r="H11" s="1230"/>
      <c r="I11" s="1231" t="s">
        <v>780</v>
      </c>
      <c r="J11" s="1231"/>
      <c r="K11" s="1231"/>
      <c r="L11" s="1231"/>
      <c r="M11" s="1048" t="s">
        <v>649</v>
      </c>
      <c r="N11" s="1046"/>
      <c r="O11" s="1046"/>
      <c r="P11" s="1046"/>
      <c r="Q11" s="1046"/>
    </row>
    <row r="12" spans="1:18" s="1047" customFormat="1" ht="153" customHeight="1">
      <c r="A12" s="1048">
        <v>2</v>
      </c>
      <c r="B12" s="1231" t="s">
        <v>779</v>
      </c>
      <c r="C12" s="1231"/>
      <c r="D12" s="1231"/>
      <c r="E12" s="1231"/>
      <c r="F12" s="1230">
        <v>12</v>
      </c>
      <c r="G12" s="1230"/>
      <c r="H12" s="1230"/>
      <c r="I12" s="1231" t="s">
        <v>774</v>
      </c>
      <c r="J12" s="1231"/>
      <c r="K12" s="1231"/>
      <c r="L12" s="1231"/>
      <c r="M12" s="1048" t="s">
        <v>649</v>
      </c>
      <c r="N12" s="1046"/>
      <c r="O12" s="1046"/>
      <c r="P12" s="1046"/>
      <c r="Q12" s="1046"/>
    </row>
    <row r="13" spans="1:18" s="1047" customFormat="1" ht="180.6" hidden="1" customHeight="1">
      <c r="A13" s="1048">
        <v>3</v>
      </c>
      <c r="B13" s="1231" t="s">
        <v>778</v>
      </c>
      <c r="C13" s="1231"/>
      <c r="D13" s="1231"/>
      <c r="E13" s="1231"/>
      <c r="F13" s="1230">
        <v>48</v>
      </c>
      <c r="G13" s="1230"/>
      <c r="H13" s="1230"/>
      <c r="I13" s="1231" t="s">
        <v>649</v>
      </c>
      <c r="J13" s="1231"/>
      <c r="K13" s="1231"/>
      <c r="L13" s="1231"/>
      <c r="M13" s="1048" t="s">
        <v>649</v>
      </c>
      <c r="N13" s="1046"/>
      <c r="O13" s="1046"/>
      <c r="P13" s="1046"/>
      <c r="Q13" s="1046"/>
      <c r="R13" s="1046"/>
    </row>
    <row r="14" spans="1:18" s="1047" customFormat="1" ht="183.6" hidden="1" customHeight="1">
      <c r="A14" s="1048">
        <v>4</v>
      </c>
      <c r="B14" s="1231" t="s">
        <v>777</v>
      </c>
      <c r="C14" s="1231"/>
      <c r="D14" s="1231"/>
      <c r="E14" s="1231"/>
      <c r="F14" s="1230">
        <v>66</v>
      </c>
      <c r="G14" s="1230"/>
      <c r="H14" s="1230"/>
      <c r="I14" s="1232" t="s">
        <v>649</v>
      </c>
      <c r="J14" s="1233"/>
      <c r="K14" s="1232"/>
      <c r="L14" s="1233"/>
      <c r="M14" s="1048" t="s">
        <v>649</v>
      </c>
      <c r="N14" s="1046"/>
      <c r="O14" s="1046"/>
      <c r="P14" s="1046"/>
      <c r="Q14" s="1046"/>
      <c r="R14" s="1046"/>
    </row>
    <row r="15" spans="1:18" s="1047" customFormat="1" ht="230.45" hidden="1" customHeight="1">
      <c r="A15" s="1048">
        <v>5</v>
      </c>
      <c r="B15" s="1232" t="s">
        <v>776</v>
      </c>
      <c r="C15" s="1244"/>
      <c r="D15" s="1244"/>
      <c r="E15" s="1233"/>
      <c r="F15" s="1245">
        <v>3618</v>
      </c>
      <c r="G15" s="1246"/>
      <c r="H15" s="1247"/>
      <c r="I15" s="1232" t="s">
        <v>649</v>
      </c>
      <c r="J15" s="1233"/>
      <c r="K15" s="1232"/>
      <c r="L15" s="1233"/>
      <c r="M15" s="1048" t="s">
        <v>649</v>
      </c>
      <c r="N15" s="1046"/>
      <c r="O15" s="1046"/>
      <c r="P15" s="1046"/>
      <c r="Q15" s="1046"/>
      <c r="R15" s="1046"/>
    </row>
    <row r="16" spans="1:18" s="1047" customFormat="1" ht="171" customHeight="1">
      <c r="A16" s="1048">
        <v>6</v>
      </c>
      <c r="B16" s="1231" t="s">
        <v>771</v>
      </c>
      <c r="C16" s="1231"/>
      <c r="D16" s="1231"/>
      <c r="E16" s="1231"/>
      <c r="F16" s="1230">
        <v>1858</v>
      </c>
      <c r="G16" s="1230"/>
      <c r="H16" s="1230"/>
      <c r="I16" s="1231" t="s">
        <v>770</v>
      </c>
      <c r="J16" s="1231"/>
      <c r="K16" s="1231"/>
      <c r="L16" s="1231"/>
      <c r="M16" s="1048" t="s">
        <v>769</v>
      </c>
      <c r="N16" s="1046"/>
      <c r="O16" s="1046"/>
      <c r="P16" s="1046"/>
      <c r="Q16" s="1046"/>
      <c r="R16" s="1046"/>
    </row>
    <row r="17" spans="1:18" s="1047" customFormat="1" ht="204" customHeight="1">
      <c r="A17" s="1048">
        <v>7</v>
      </c>
      <c r="B17" s="1231" t="s">
        <v>775</v>
      </c>
      <c r="C17" s="1231"/>
      <c r="D17" s="1231"/>
      <c r="E17" s="1231"/>
      <c r="F17" s="1230">
        <v>12</v>
      </c>
      <c r="G17" s="1230"/>
      <c r="H17" s="1230"/>
      <c r="I17" s="1231" t="s">
        <v>774</v>
      </c>
      <c r="J17" s="1231"/>
      <c r="K17" s="1231"/>
      <c r="L17" s="1231"/>
      <c r="M17" s="1048" t="s">
        <v>649</v>
      </c>
      <c r="N17" s="1046"/>
      <c r="O17" s="1046"/>
      <c r="P17" s="1046"/>
      <c r="Q17" s="1046"/>
      <c r="R17" s="1046"/>
    </row>
    <row r="18" spans="1:18" s="1047" customFormat="1" ht="283.35000000000002" customHeight="1">
      <c r="A18" s="1048">
        <v>8</v>
      </c>
      <c r="B18" s="1231" t="s">
        <v>773</v>
      </c>
      <c r="C18" s="1231"/>
      <c r="D18" s="1231"/>
      <c r="E18" s="1231"/>
      <c r="F18" s="1230">
        <v>66</v>
      </c>
      <c r="G18" s="1230"/>
      <c r="H18" s="1230"/>
      <c r="I18" s="1232" t="s">
        <v>649</v>
      </c>
      <c r="J18" s="1233"/>
      <c r="K18" s="1232"/>
      <c r="L18" s="1233"/>
      <c r="M18" s="1048" t="s">
        <v>772</v>
      </c>
      <c r="N18" s="1046"/>
      <c r="O18" s="1046"/>
      <c r="P18" s="1046"/>
      <c r="Q18" s="1046"/>
      <c r="R18" s="1046"/>
    </row>
    <row r="19" spans="1:18" s="1047" customFormat="1" ht="166.35" customHeight="1">
      <c r="A19" s="1048">
        <v>9</v>
      </c>
      <c r="B19" s="1231" t="s">
        <v>771</v>
      </c>
      <c r="C19" s="1231"/>
      <c r="D19" s="1231"/>
      <c r="E19" s="1231"/>
      <c r="F19" s="1230">
        <v>1041</v>
      </c>
      <c r="G19" s="1230"/>
      <c r="H19" s="1230"/>
      <c r="I19" s="1231" t="s">
        <v>770</v>
      </c>
      <c r="J19" s="1231"/>
      <c r="K19" s="1231"/>
      <c r="L19" s="1231"/>
      <c r="M19" s="1048" t="s">
        <v>769</v>
      </c>
      <c r="N19" s="1046"/>
      <c r="O19" s="1046"/>
      <c r="P19" s="1046"/>
      <c r="Q19" s="1046"/>
      <c r="R19" s="1046"/>
    </row>
    <row r="20" spans="1:18" s="1047" customFormat="1" ht="166.35" customHeight="1">
      <c r="A20" s="1048">
        <v>10</v>
      </c>
      <c r="B20" s="1231" t="s">
        <v>768</v>
      </c>
      <c r="C20" s="1231"/>
      <c r="D20" s="1231"/>
      <c r="E20" s="1231"/>
      <c r="F20" s="1230">
        <v>26</v>
      </c>
      <c r="G20" s="1230"/>
      <c r="H20" s="1230"/>
      <c r="I20" s="1232" t="s">
        <v>649</v>
      </c>
      <c r="J20" s="1233"/>
      <c r="K20" s="1232"/>
      <c r="L20" s="1233"/>
      <c r="M20" s="1048" t="s">
        <v>767</v>
      </c>
      <c r="N20" s="1046"/>
      <c r="O20" s="1046"/>
      <c r="P20" s="1046"/>
      <c r="Q20" s="1046"/>
      <c r="R20" s="1046"/>
    </row>
    <row r="21" spans="1:18" s="1047" customFormat="1" ht="242.45" customHeight="1">
      <c r="A21" s="1048">
        <v>11</v>
      </c>
      <c r="B21" s="1231" t="s">
        <v>766</v>
      </c>
      <c r="C21" s="1231"/>
      <c r="D21" s="1231"/>
      <c r="E21" s="1231"/>
      <c r="F21" s="1230">
        <v>27</v>
      </c>
      <c r="G21" s="1230"/>
      <c r="H21" s="1230"/>
      <c r="I21" s="1232" t="s">
        <v>649</v>
      </c>
      <c r="J21" s="1233"/>
      <c r="K21" s="1232"/>
      <c r="L21" s="1233"/>
      <c r="M21" s="1048" t="s">
        <v>649</v>
      </c>
      <c r="N21" s="1046"/>
      <c r="O21" s="1046"/>
      <c r="P21" s="1046"/>
      <c r="Q21" s="1046"/>
      <c r="R21" s="1046"/>
    </row>
    <row r="22" spans="1:18" s="1047" customFormat="1" ht="271.35000000000002" hidden="1" customHeight="1">
      <c r="A22" s="1048">
        <v>12</v>
      </c>
      <c r="B22" s="1231" t="s">
        <v>765</v>
      </c>
      <c r="C22" s="1231"/>
      <c r="D22" s="1231"/>
      <c r="E22" s="1231"/>
      <c r="F22" s="1230">
        <v>37</v>
      </c>
      <c r="G22" s="1230"/>
      <c r="H22" s="1230"/>
      <c r="I22" s="1232" t="s">
        <v>649</v>
      </c>
      <c r="J22" s="1233"/>
      <c r="K22" s="1232"/>
      <c r="L22" s="1233"/>
      <c r="M22" s="1048" t="s">
        <v>649</v>
      </c>
      <c r="N22" s="1046"/>
      <c r="O22" s="1046"/>
      <c r="P22" s="1046"/>
      <c r="Q22" s="1046"/>
      <c r="R22" s="1046"/>
    </row>
    <row r="23" spans="1:18" s="1047" customFormat="1" ht="408" customHeight="1">
      <c r="A23" s="1048">
        <v>13</v>
      </c>
      <c r="B23" s="1231" t="s">
        <v>764</v>
      </c>
      <c r="C23" s="1231"/>
      <c r="D23" s="1231"/>
      <c r="E23" s="1231"/>
      <c r="F23" s="1230">
        <v>237</v>
      </c>
      <c r="G23" s="1230"/>
      <c r="H23" s="1230"/>
      <c r="I23" s="1232" t="s">
        <v>649</v>
      </c>
      <c r="J23" s="1233"/>
      <c r="K23" s="1232"/>
      <c r="L23" s="1233"/>
      <c r="M23" s="1048" t="s">
        <v>649</v>
      </c>
      <c r="Q23" s="1046"/>
      <c r="R23" s="1046"/>
    </row>
    <row r="24" spans="1:18" s="1047" customFormat="1" ht="266.45" customHeight="1">
      <c r="A24" s="1048">
        <v>14</v>
      </c>
      <c r="B24" s="1231" t="s">
        <v>763</v>
      </c>
      <c r="C24" s="1231"/>
      <c r="D24" s="1231"/>
      <c r="E24" s="1231"/>
      <c r="F24" s="1230">
        <v>440</v>
      </c>
      <c r="G24" s="1230"/>
      <c r="H24" s="1230"/>
      <c r="I24" s="1232" t="s">
        <v>649</v>
      </c>
      <c r="J24" s="1233"/>
      <c r="K24" s="1232"/>
      <c r="L24" s="1233"/>
      <c r="M24" s="1048" t="s">
        <v>649</v>
      </c>
      <c r="Q24" s="1046"/>
      <c r="R24" s="1046"/>
    </row>
    <row r="25" spans="1:18" s="1047" customFormat="1" ht="48" customHeight="1">
      <c r="Q25" s="1046"/>
      <c r="R25" s="1046"/>
    </row>
    <row r="26" spans="1:18" s="1047" customFormat="1" ht="48" customHeight="1">
      <c r="Q26" s="1046"/>
      <c r="R26" s="1046"/>
    </row>
  </sheetData>
  <mergeCells count="69">
    <mergeCell ref="B17:E17"/>
    <mergeCell ref="F17:H17"/>
    <mergeCell ref="K10:L10"/>
    <mergeCell ref="K11:L11"/>
    <mergeCell ref="K12:L12"/>
    <mergeCell ref="K13:L13"/>
    <mergeCell ref="K14:L14"/>
    <mergeCell ref="B10:E10"/>
    <mergeCell ref="B13:E13"/>
    <mergeCell ref="I16:J16"/>
    <mergeCell ref="I14:J14"/>
    <mergeCell ref="F12:H12"/>
    <mergeCell ref="F13:H13"/>
    <mergeCell ref="F14:H14"/>
    <mergeCell ref="B12:E12"/>
    <mergeCell ref="B14:E14"/>
    <mergeCell ref="F10:H10"/>
    <mergeCell ref="F11:H11"/>
    <mergeCell ref="B15:E15"/>
    <mergeCell ref="F15:H15"/>
    <mergeCell ref="B16:E16"/>
    <mergeCell ref="B11:E11"/>
    <mergeCell ref="F16:H16"/>
    <mergeCell ref="A5:M5"/>
    <mergeCell ref="J6:K6"/>
    <mergeCell ref="J7:K7"/>
    <mergeCell ref="J8:K8"/>
    <mergeCell ref="J9:K9"/>
    <mergeCell ref="A8:I8"/>
    <mergeCell ref="A9:I9"/>
    <mergeCell ref="A6:I6"/>
    <mergeCell ref="A7:I7"/>
    <mergeCell ref="I10:J10"/>
    <mergeCell ref="K17:L17"/>
    <mergeCell ref="K16:L16"/>
    <mergeCell ref="K15:L15"/>
    <mergeCell ref="I17:J17"/>
    <mergeCell ref="I12:J12"/>
    <mergeCell ref="I13:J13"/>
    <mergeCell ref="I11:J11"/>
    <mergeCell ref="I15:J15"/>
    <mergeCell ref="K24:L24"/>
    <mergeCell ref="I20:J20"/>
    <mergeCell ref="I21:J21"/>
    <mergeCell ref="I22:J22"/>
    <mergeCell ref="I18:J18"/>
    <mergeCell ref="I19:J19"/>
    <mergeCell ref="I23:J23"/>
    <mergeCell ref="I24:J24"/>
    <mergeCell ref="K23:L23"/>
    <mergeCell ref="K22:L22"/>
    <mergeCell ref="K18:L18"/>
    <mergeCell ref="K19:L19"/>
    <mergeCell ref="K20:L20"/>
    <mergeCell ref="K21:L21"/>
    <mergeCell ref="F19:H19"/>
    <mergeCell ref="B24:E24"/>
    <mergeCell ref="B19:E19"/>
    <mergeCell ref="F18:H18"/>
    <mergeCell ref="B18:E18"/>
    <mergeCell ref="F20:H20"/>
    <mergeCell ref="F21:H21"/>
    <mergeCell ref="F22:H22"/>
    <mergeCell ref="B23:E23"/>
    <mergeCell ref="F24:H24"/>
    <mergeCell ref="B20:E20"/>
    <mergeCell ref="B21:E21"/>
    <mergeCell ref="B22:E22"/>
    <mergeCell ref="F23:H23"/>
  </mergeCells>
  <pageMargins left="0.7" right="0.7" top="0.75" bottom="0.75" header="0.3" footer="0.3"/>
  <pageSetup paperSize="9" scale="74" fitToHeight="0" orientation="landscape" r:id="rId1"/>
  <customProperties>
    <customPr name="Ibp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8"/>
  <sheetViews>
    <sheetView topLeftCell="D1" zoomScale="80" zoomScaleNormal="80" workbookViewId="0">
      <selection activeCell="K13" sqref="K13:M24"/>
    </sheetView>
  </sheetViews>
  <sheetFormatPr defaultRowHeight="15"/>
  <cols>
    <col min="1" max="1" width="4.140625" style="1016" customWidth="1"/>
    <col min="2" max="2" width="2" style="1016" customWidth="1"/>
    <col min="3" max="4" width="18.5703125" style="1016" customWidth="1"/>
    <col min="5" max="5" width="13.5703125" style="1016" customWidth="1"/>
    <col min="6" max="6" width="2" style="1016" customWidth="1"/>
    <col min="7" max="7" width="26" style="1016" customWidth="1"/>
    <col min="8" max="8" width="22.28515625" style="1016" customWidth="1"/>
    <col min="9" max="9" width="19" style="1016" customWidth="1"/>
    <col min="10" max="10" width="2" style="1016" customWidth="1"/>
    <col min="11" max="13" width="13.42578125" style="1016" customWidth="1"/>
    <col min="14" max="19" width="13.5703125" style="1016" customWidth="1"/>
    <col min="20" max="16384" width="9.140625" style="1016"/>
  </cols>
  <sheetData>
    <row r="1" spans="2:19" ht="15.75" thickBot="1">
      <c r="B1" s="1018"/>
      <c r="F1" s="1018"/>
      <c r="J1" s="1018"/>
    </row>
    <row r="2" spans="2:19" ht="29.25" customHeight="1" thickBot="1">
      <c r="B2" s="1038"/>
      <c r="C2" s="1289" t="s">
        <v>720</v>
      </c>
      <c r="D2" s="1290"/>
      <c r="E2" s="1290"/>
      <c r="F2" s="1290"/>
      <c r="G2" s="1290"/>
      <c r="H2" s="1290"/>
      <c r="I2" s="1290"/>
      <c r="J2" s="1290"/>
      <c r="K2" s="1290"/>
      <c r="L2" s="1290"/>
      <c r="M2" s="1290"/>
      <c r="N2" s="1290"/>
      <c r="O2" s="1290"/>
      <c r="P2" s="1290"/>
      <c r="Q2" s="1290"/>
      <c r="R2" s="1290"/>
      <c r="S2" s="1291"/>
    </row>
    <row r="3" spans="2:19" ht="6.75" customHeight="1" thickBot="1">
      <c r="B3" s="1018"/>
      <c r="C3" s="1017"/>
      <c r="D3" s="1017"/>
      <c r="E3" s="1017"/>
      <c r="F3" s="1018"/>
      <c r="G3" s="1018"/>
      <c r="H3" s="1018"/>
      <c r="I3" s="1018"/>
      <c r="J3" s="1018"/>
      <c r="K3" s="1018"/>
      <c r="L3" s="1018"/>
      <c r="M3" s="1018"/>
      <c r="N3" s="1018"/>
      <c r="O3" s="1018"/>
      <c r="P3" s="1018"/>
      <c r="Q3" s="1018"/>
      <c r="R3" s="1018"/>
      <c r="S3" s="1018"/>
    </row>
    <row r="4" spans="2:19" ht="20.25" customHeight="1" thickBot="1">
      <c r="B4" s="1018"/>
      <c r="C4" s="1248" t="s">
        <v>719</v>
      </c>
      <c r="D4" s="1249"/>
      <c r="E4" s="1250"/>
      <c r="F4" s="1017"/>
      <c r="G4" s="1251" t="s">
        <v>718</v>
      </c>
      <c r="H4" s="1252"/>
      <c r="I4" s="1253"/>
      <c r="J4" s="1018"/>
      <c r="K4" s="1308" t="s">
        <v>717</v>
      </c>
      <c r="L4" s="1309"/>
      <c r="M4" s="1309"/>
      <c r="N4" s="1309"/>
      <c r="O4" s="1309"/>
      <c r="P4" s="1309"/>
      <c r="Q4" s="1309"/>
      <c r="R4" s="1309"/>
      <c r="S4" s="1310"/>
    </row>
    <row r="5" spans="2:19" ht="17.25" customHeight="1">
      <c r="B5" s="1018"/>
      <c r="C5" s="1031" t="s">
        <v>716</v>
      </c>
      <c r="D5" s="1037" t="s">
        <v>715</v>
      </c>
      <c r="E5" s="1036" t="s">
        <v>714</v>
      </c>
      <c r="F5" s="1017"/>
      <c r="G5" s="1033" t="s">
        <v>713</v>
      </c>
      <c r="H5" s="1254"/>
      <c r="I5" s="1255"/>
      <c r="J5" s="1018"/>
      <c r="K5" s="1301" t="s">
        <v>712</v>
      </c>
      <c r="L5" s="1302"/>
      <c r="M5" s="1305"/>
      <c r="N5" s="1306"/>
      <c r="O5" s="1306"/>
      <c r="P5" s="1306"/>
      <c r="Q5" s="1306"/>
      <c r="R5" s="1306"/>
      <c r="S5" s="1307"/>
    </row>
    <row r="6" spans="2:19" ht="17.25" customHeight="1">
      <c r="B6" s="1018"/>
      <c r="C6" s="1032"/>
      <c r="D6" s="1035"/>
      <c r="E6" s="1034"/>
      <c r="F6" s="1017"/>
      <c r="G6" s="1033" t="s">
        <v>711</v>
      </c>
      <c r="H6" s="1260"/>
      <c r="I6" s="1261"/>
      <c r="J6" s="1018"/>
      <c r="K6" s="1303" t="s">
        <v>710</v>
      </c>
      <c r="L6" s="1304"/>
      <c r="M6" s="1262"/>
      <c r="N6" s="1311"/>
      <c r="O6" s="1311"/>
      <c r="P6" s="1311"/>
      <c r="Q6" s="1311"/>
      <c r="R6" s="1311"/>
      <c r="S6" s="1263"/>
    </row>
    <row r="7" spans="2:19" ht="17.25" customHeight="1">
      <c r="B7" s="1018"/>
      <c r="C7" s="1031" t="s">
        <v>709</v>
      </c>
      <c r="D7" s="1256" t="s">
        <v>708</v>
      </c>
      <c r="E7" s="1257"/>
      <c r="F7" s="1017"/>
      <c r="G7" s="1033" t="s">
        <v>366</v>
      </c>
      <c r="H7" s="1254"/>
      <c r="I7" s="1255"/>
      <c r="J7" s="1018"/>
      <c r="K7" s="1303" t="s">
        <v>707</v>
      </c>
      <c r="L7" s="1304"/>
      <c r="M7" s="1262"/>
      <c r="N7" s="1311"/>
      <c r="O7" s="1311"/>
      <c r="P7" s="1311"/>
      <c r="Q7" s="1311"/>
      <c r="R7" s="1311"/>
      <c r="S7" s="1263"/>
    </row>
    <row r="8" spans="2:19" ht="17.25" customHeight="1">
      <c r="B8" s="1018"/>
      <c r="C8" s="1032"/>
      <c r="D8" s="1264"/>
      <c r="E8" s="1265"/>
      <c r="F8" s="1017"/>
      <c r="G8" s="1292"/>
      <c r="H8" s="1293"/>
      <c r="I8" s="1294"/>
      <c r="J8" s="1018"/>
      <c r="K8" s="1303" t="s">
        <v>706</v>
      </c>
      <c r="L8" s="1304"/>
      <c r="M8" s="1262"/>
      <c r="N8" s="1311"/>
      <c r="O8" s="1311"/>
      <c r="P8" s="1311"/>
      <c r="Q8" s="1311"/>
      <c r="R8" s="1311"/>
      <c r="S8" s="1263"/>
    </row>
    <row r="9" spans="2:19" ht="17.25" customHeight="1">
      <c r="B9" s="1018"/>
      <c r="C9" s="1031" t="s">
        <v>687</v>
      </c>
      <c r="D9" s="1262"/>
      <c r="E9" s="1263"/>
      <c r="F9" s="1017"/>
      <c r="G9" s="1295"/>
      <c r="H9" s="1296"/>
      <c r="I9" s="1297"/>
      <c r="J9" s="1018"/>
      <c r="K9" s="1303" t="s">
        <v>705</v>
      </c>
      <c r="L9" s="1304"/>
      <c r="M9" s="1262"/>
      <c r="N9" s="1311"/>
      <c r="O9" s="1311"/>
      <c r="P9" s="1311"/>
      <c r="Q9" s="1311"/>
      <c r="R9" s="1311"/>
      <c r="S9" s="1263"/>
    </row>
    <row r="10" spans="2:19" ht="17.25" customHeight="1" thickBot="1">
      <c r="B10" s="1018"/>
      <c r="C10" s="1030" t="s">
        <v>704</v>
      </c>
      <c r="D10" s="1266"/>
      <c r="E10" s="1267"/>
      <c r="F10" s="1017"/>
      <c r="G10" s="1298"/>
      <c r="H10" s="1299"/>
      <c r="I10" s="1300"/>
      <c r="J10" s="1018"/>
      <c r="K10" s="1312" t="s">
        <v>703</v>
      </c>
      <c r="L10" s="1313"/>
      <c r="M10" s="1314"/>
      <c r="N10" s="1315"/>
      <c r="O10" s="1315"/>
      <c r="P10" s="1315"/>
      <c r="Q10" s="1315"/>
      <c r="R10" s="1315"/>
      <c r="S10" s="1316"/>
    </row>
    <row r="11" spans="2:19" ht="6.75" customHeight="1" thickBot="1">
      <c r="B11" s="1018"/>
      <c r="C11" s="1017"/>
      <c r="D11" s="1017"/>
      <c r="E11" s="1017"/>
      <c r="F11" s="1017"/>
      <c r="G11" s="1017"/>
      <c r="H11" s="1017"/>
      <c r="I11" s="1017"/>
      <c r="J11" s="1018"/>
      <c r="K11" s="1017"/>
      <c r="L11" s="1017"/>
      <c r="M11" s="1017"/>
      <c r="N11" s="1017"/>
      <c r="O11" s="1017"/>
      <c r="P11" s="1017"/>
      <c r="Q11" s="1017"/>
      <c r="R11" s="1017"/>
      <c r="S11" s="1017"/>
    </row>
    <row r="12" spans="2:19" ht="20.25" customHeight="1" thickBot="1">
      <c r="B12" s="1018"/>
      <c r="C12" s="1248" t="s">
        <v>702</v>
      </c>
      <c r="D12" s="1249"/>
      <c r="E12" s="1250"/>
      <c r="F12" s="1017"/>
      <c r="G12" s="1248" t="s">
        <v>695</v>
      </c>
      <c r="H12" s="1249"/>
      <c r="I12" s="1250"/>
      <c r="J12" s="1018"/>
      <c r="K12" s="1248" t="s">
        <v>701</v>
      </c>
      <c r="L12" s="1249"/>
      <c r="M12" s="1249"/>
      <c r="N12" s="1249"/>
      <c r="O12" s="1249"/>
      <c r="P12" s="1249"/>
      <c r="Q12" s="1249"/>
      <c r="R12" s="1249"/>
      <c r="S12" s="1250"/>
    </row>
    <row r="13" spans="2:19" ht="17.25" customHeight="1">
      <c r="B13" s="1018"/>
      <c r="C13" s="1029" t="s">
        <v>694</v>
      </c>
      <c r="D13" s="1271"/>
      <c r="E13" s="1272"/>
      <c r="F13" s="1017"/>
      <c r="G13" s="1268" t="s">
        <v>693</v>
      </c>
      <c r="H13" s="1269"/>
      <c r="I13" s="1270"/>
      <c r="K13" s="1317" t="s">
        <v>699</v>
      </c>
      <c r="L13" s="1318"/>
      <c r="M13" s="1318"/>
      <c r="N13" s="1318" t="s">
        <v>698</v>
      </c>
      <c r="O13" s="1318"/>
      <c r="P13" s="1318"/>
      <c r="Q13" s="1318" t="s">
        <v>697</v>
      </c>
      <c r="R13" s="1318"/>
      <c r="S13" s="1323"/>
    </row>
    <row r="14" spans="2:19" ht="17.25" customHeight="1">
      <c r="B14" s="1018"/>
      <c r="C14" s="1258" t="s">
        <v>692</v>
      </c>
      <c r="D14" s="1259"/>
      <c r="E14" s="1027"/>
      <c r="F14" s="1017"/>
      <c r="G14" s="1028" t="s">
        <v>687</v>
      </c>
      <c r="H14" s="1262"/>
      <c r="I14" s="1263"/>
      <c r="K14" s="1319"/>
      <c r="L14" s="1320"/>
      <c r="M14" s="1320"/>
      <c r="N14" s="1320"/>
      <c r="O14" s="1320"/>
      <c r="P14" s="1320"/>
      <c r="Q14" s="1320"/>
      <c r="R14" s="1320"/>
      <c r="S14" s="1324"/>
    </row>
    <row r="15" spans="2:19" ht="17.25" customHeight="1">
      <c r="B15" s="1018"/>
      <c r="C15" s="1258" t="s">
        <v>691</v>
      </c>
      <c r="D15" s="1259"/>
      <c r="E15" s="1021"/>
      <c r="F15" s="1017"/>
      <c r="G15" s="1258" t="s">
        <v>686</v>
      </c>
      <c r="H15" s="1259"/>
      <c r="I15" s="1027"/>
      <c r="K15" s="1319"/>
      <c r="L15" s="1320"/>
      <c r="M15" s="1320"/>
      <c r="N15" s="1320"/>
      <c r="O15" s="1320"/>
      <c r="P15" s="1320"/>
      <c r="Q15" s="1320"/>
      <c r="R15" s="1320"/>
      <c r="S15" s="1324"/>
    </row>
    <row r="16" spans="2:19" ht="17.25" customHeight="1">
      <c r="B16" s="1018"/>
      <c r="C16" s="1258" t="s">
        <v>690</v>
      </c>
      <c r="D16" s="1259"/>
      <c r="E16" s="1021"/>
      <c r="F16" s="1017"/>
      <c r="G16" s="1268" t="s">
        <v>689</v>
      </c>
      <c r="H16" s="1269"/>
      <c r="I16" s="1270"/>
      <c r="K16" s="1319"/>
      <c r="L16" s="1320"/>
      <c r="M16" s="1320"/>
      <c r="N16" s="1320"/>
      <c r="O16" s="1320"/>
      <c r="P16" s="1320"/>
      <c r="Q16" s="1320"/>
      <c r="R16" s="1320"/>
      <c r="S16" s="1324"/>
    </row>
    <row r="17" spans="2:19" ht="17.25" customHeight="1">
      <c r="B17" s="1018"/>
      <c r="C17" s="1268" t="s">
        <v>688</v>
      </c>
      <c r="D17" s="1269"/>
      <c r="E17" s="1270"/>
      <c r="F17" s="1017"/>
      <c r="G17" s="1028" t="s">
        <v>687</v>
      </c>
      <c r="H17" s="1262"/>
      <c r="I17" s="1263"/>
      <c r="K17" s="1319"/>
      <c r="L17" s="1320"/>
      <c r="M17" s="1320"/>
      <c r="N17" s="1320"/>
      <c r="O17" s="1320"/>
      <c r="P17" s="1320"/>
      <c r="Q17" s="1320"/>
      <c r="R17" s="1320"/>
      <c r="S17" s="1324"/>
    </row>
    <row r="18" spans="2:19" ht="17.25" customHeight="1">
      <c r="B18" s="1018"/>
      <c r="C18" s="1273" t="s">
        <v>678</v>
      </c>
      <c r="D18" s="1274"/>
      <c r="E18" s="1021"/>
      <c r="F18" s="1017"/>
      <c r="G18" s="1258" t="s">
        <v>686</v>
      </c>
      <c r="H18" s="1259"/>
      <c r="I18" s="1027"/>
      <c r="K18" s="1319"/>
      <c r="L18" s="1320"/>
      <c r="M18" s="1320"/>
      <c r="N18" s="1320"/>
      <c r="O18" s="1320"/>
      <c r="P18" s="1320"/>
      <c r="Q18" s="1320"/>
      <c r="R18" s="1320"/>
      <c r="S18" s="1324"/>
    </row>
    <row r="19" spans="2:19" ht="17.25" customHeight="1">
      <c r="B19" s="1018"/>
      <c r="C19" s="1273" t="s">
        <v>677</v>
      </c>
      <c r="D19" s="1274"/>
      <c r="E19" s="1021"/>
      <c r="F19" s="1017"/>
      <c r="G19" s="1268" t="s">
        <v>685</v>
      </c>
      <c r="H19" s="1269"/>
      <c r="I19" s="1270"/>
      <c r="K19" s="1319"/>
      <c r="L19" s="1320"/>
      <c r="M19" s="1320"/>
      <c r="N19" s="1320"/>
      <c r="O19" s="1320"/>
      <c r="P19" s="1320"/>
      <c r="Q19" s="1320"/>
      <c r="R19" s="1320"/>
      <c r="S19" s="1324"/>
    </row>
    <row r="20" spans="2:19" ht="17.25" customHeight="1">
      <c r="B20" s="1018"/>
      <c r="C20" s="1273" t="s">
        <v>675</v>
      </c>
      <c r="D20" s="1274"/>
      <c r="E20" s="1021"/>
      <c r="F20" s="1017"/>
      <c r="G20" s="1280"/>
      <c r="H20" s="1281"/>
      <c r="I20" s="1282"/>
      <c r="K20" s="1319"/>
      <c r="L20" s="1320"/>
      <c r="M20" s="1320"/>
      <c r="N20" s="1320"/>
      <c r="O20" s="1320"/>
      <c r="P20" s="1320"/>
      <c r="Q20" s="1320"/>
      <c r="R20" s="1320"/>
      <c r="S20" s="1324"/>
    </row>
    <row r="21" spans="2:19" ht="17.25" customHeight="1">
      <c r="B21" s="1018"/>
      <c r="C21" s="1258" t="s">
        <v>682</v>
      </c>
      <c r="D21" s="1259"/>
      <c r="E21" s="1021"/>
      <c r="F21" s="1017"/>
      <c r="G21" s="1283"/>
      <c r="H21" s="1284"/>
      <c r="I21" s="1285"/>
      <c r="K21" s="1319"/>
      <c r="L21" s="1320"/>
      <c r="M21" s="1320"/>
      <c r="N21" s="1320"/>
      <c r="O21" s="1320"/>
      <c r="P21" s="1320"/>
      <c r="Q21" s="1320"/>
      <c r="R21" s="1320"/>
      <c r="S21" s="1324"/>
    </row>
    <row r="22" spans="2:19" ht="17.25" customHeight="1">
      <c r="B22" s="1018"/>
      <c r="C22" s="1268" t="s">
        <v>679</v>
      </c>
      <c r="D22" s="1269"/>
      <c r="E22" s="1270"/>
      <c r="F22" s="1017"/>
      <c r="G22" s="1283"/>
      <c r="H22" s="1284"/>
      <c r="I22" s="1285"/>
      <c r="K22" s="1319"/>
      <c r="L22" s="1320"/>
      <c r="M22" s="1320"/>
      <c r="N22" s="1320"/>
      <c r="O22" s="1320"/>
      <c r="P22" s="1320"/>
      <c r="Q22" s="1320"/>
      <c r="R22" s="1320"/>
      <c r="S22" s="1324"/>
    </row>
    <row r="23" spans="2:19" ht="17.25" customHeight="1">
      <c r="B23" s="1018"/>
      <c r="C23" s="1273" t="s">
        <v>678</v>
      </c>
      <c r="D23" s="1274"/>
      <c r="E23" s="1021"/>
      <c r="F23" s="1017"/>
      <c r="G23" s="1283"/>
      <c r="H23" s="1284"/>
      <c r="I23" s="1285"/>
      <c r="K23" s="1319"/>
      <c r="L23" s="1320"/>
      <c r="M23" s="1320"/>
      <c r="N23" s="1320"/>
      <c r="O23" s="1320"/>
      <c r="P23" s="1320"/>
      <c r="Q23" s="1320"/>
      <c r="R23" s="1320"/>
      <c r="S23" s="1324"/>
    </row>
    <row r="24" spans="2:19" ht="17.25" customHeight="1" thickBot="1">
      <c r="B24" s="1018"/>
      <c r="C24" s="1273" t="s">
        <v>677</v>
      </c>
      <c r="D24" s="1274"/>
      <c r="E24" s="1021"/>
      <c r="F24" s="1017"/>
      <c r="G24" s="1283"/>
      <c r="H24" s="1284"/>
      <c r="I24" s="1285"/>
      <c r="K24" s="1321"/>
      <c r="L24" s="1322"/>
      <c r="M24" s="1322"/>
      <c r="N24" s="1322"/>
      <c r="O24" s="1322"/>
      <c r="P24" s="1322"/>
      <c r="Q24" s="1322"/>
      <c r="R24" s="1322"/>
      <c r="S24" s="1325"/>
    </row>
    <row r="25" spans="2:19" ht="17.25" customHeight="1" thickBot="1">
      <c r="B25" s="1018"/>
      <c r="C25" s="1273" t="s">
        <v>675</v>
      </c>
      <c r="D25" s="1274"/>
      <c r="E25" s="1021"/>
      <c r="F25" s="1017"/>
      <c r="G25" s="1283"/>
      <c r="H25" s="1284"/>
      <c r="I25" s="1285"/>
      <c r="K25" s="1326" t="s">
        <v>700</v>
      </c>
      <c r="L25" s="1327"/>
      <c r="M25" s="1327"/>
      <c r="N25" s="1327"/>
      <c r="O25" s="1327"/>
      <c r="P25" s="1327"/>
      <c r="Q25" s="1327"/>
      <c r="R25" s="1327"/>
      <c r="S25" s="1328"/>
    </row>
    <row r="26" spans="2:19" ht="17.25" customHeight="1">
      <c r="B26" s="1018"/>
      <c r="C26" s="1258" t="s">
        <v>673</v>
      </c>
      <c r="D26" s="1259"/>
      <c r="E26" s="1021"/>
      <c r="F26" s="1017"/>
      <c r="G26" s="1283"/>
      <c r="H26" s="1284"/>
      <c r="I26" s="1285"/>
      <c r="K26" s="1317" t="s">
        <v>699</v>
      </c>
      <c r="L26" s="1318"/>
      <c r="M26" s="1318"/>
      <c r="N26" s="1318" t="s">
        <v>698</v>
      </c>
      <c r="O26" s="1318"/>
      <c r="P26" s="1318"/>
      <c r="Q26" s="1318" t="s">
        <v>697</v>
      </c>
      <c r="R26" s="1318"/>
      <c r="S26" s="1323"/>
    </row>
    <row r="27" spans="2:19" ht="17.25" customHeight="1">
      <c r="B27" s="1018"/>
      <c r="C27" s="1275" t="s">
        <v>671</v>
      </c>
      <c r="D27" s="1276"/>
      <c r="E27" s="1019"/>
      <c r="F27" s="1017"/>
      <c r="G27" s="1283"/>
      <c r="H27" s="1284"/>
      <c r="I27" s="1285"/>
      <c r="K27" s="1319"/>
      <c r="L27" s="1320"/>
      <c r="M27" s="1320"/>
      <c r="N27" s="1320"/>
      <c r="O27" s="1320"/>
      <c r="P27" s="1320"/>
      <c r="Q27" s="1320"/>
      <c r="R27" s="1320"/>
      <c r="S27" s="1324"/>
    </row>
    <row r="28" spans="2:19" ht="17.25" customHeight="1">
      <c r="B28" s="1018"/>
      <c r="C28" s="1268" t="s">
        <v>670</v>
      </c>
      <c r="D28" s="1269"/>
      <c r="E28" s="1270"/>
      <c r="F28" s="1017"/>
      <c r="G28" s="1283"/>
      <c r="H28" s="1284"/>
      <c r="I28" s="1285"/>
      <c r="K28" s="1319"/>
      <c r="L28" s="1320"/>
      <c r="M28" s="1320"/>
      <c r="N28" s="1320"/>
      <c r="O28" s="1320"/>
      <c r="P28" s="1320"/>
      <c r="Q28" s="1320"/>
      <c r="R28" s="1320"/>
      <c r="S28" s="1324"/>
    </row>
    <row r="29" spans="2:19" ht="17.25" customHeight="1" thickBot="1">
      <c r="B29" s="1018"/>
      <c r="C29" s="1277"/>
      <c r="D29" s="1278"/>
      <c r="E29" s="1279"/>
      <c r="F29" s="1017"/>
      <c r="G29" s="1286"/>
      <c r="H29" s="1287"/>
      <c r="I29" s="1288"/>
      <c r="K29" s="1319"/>
      <c r="L29" s="1320"/>
      <c r="M29" s="1320"/>
      <c r="N29" s="1320"/>
      <c r="O29" s="1320"/>
      <c r="P29" s="1320"/>
      <c r="Q29" s="1320"/>
      <c r="R29" s="1320"/>
      <c r="S29" s="1324"/>
    </row>
    <row r="30" spans="2:19" ht="6.75" customHeight="1" thickBot="1">
      <c r="B30" s="1018"/>
      <c r="C30" s="1017"/>
      <c r="D30" s="1017"/>
      <c r="E30" s="1017"/>
      <c r="F30" s="1017"/>
      <c r="G30" s="1017"/>
      <c r="H30" s="1017"/>
      <c r="I30" s="1017"/>
      <c r="J30" s="1018"/>
      <c r="K30" s="1319"/>
      <c r="L30" s="1320"/>
      <c r="M30" s="1320"/>
      <c r="N30" s="1320"/>
      <c r="O30" s="1320"/>
      <c r="P30" s="1320"/>
      <c r="Q30" s="1320"/>
      <c r="R30" s="1320"/>
      <c r="S30" s="1324"/>
    </row>
    <row r="31" spans="2:19" ht="20.25" customHeight="1" thickBot="1">
      <c r="B31" s="1018"/>
      <c r="C31" s="1251" t="s">
        <v>696</v>
      </c>
      <c r="D31" s="1252"/>
      <c r="E31" s="1253"/>
      <c r="F31" s="1017"/>
      <c r="G31" s="1248" t="s">
        <v>695</v>
      </c>
      <c r="H31" s="1249"/>
      <c r="I31" s="1250"/>
      <c r="J31" s="1018"/>
      <c r="K31" s="1319"/>
      <c r="L31" s="1320"/>
      <c r="M31" s="1320"/>
      <c r="N31" s="1320"/>
      <c r="O31" s="1320"/>
      <c r="P31" s="1320"/>
      <c r="Q31" s="1320"/>
      <c r="R31" s="1320"/>
      <c r="S31" s="1324"/>
    </row>
    <row r="32" spans="2:19" ht="17.25" customHeight="1">
      <c r="B32" s="1018"/>
      <c r="C32" s="1029" t="s">
        <v>694</v>
      </c>
      <c r="D32" s="1271"/>
      <c r="E32" s="1272"/>
      <c r="F32" s="1017"/>
      <c r="G32" s="1268" t="s">
        <v>693</v>
      </c>
      <c r="H32" s="1269"/>
      <c r="I32" s="1270"/>
      <c r="K32" s="1319"/>
      <c r="L32" s="1320"/>
      <c r="M32" s="1320"/>
      <c r="N32" s="1320"/>
      <c r="O32" s="1320"/>
      <c r="P32" s="1320"/>
      <c r="Q32" s="1320"/>
      <c r="R32" s="1320"/>
      <c r="S32" s="1324"/>
    </row>
    <row r="33" spans="2:19" ht="17.25" customHeight="1">
      <c r="B33" s="1018"/>
      <c r="C33" s="1258" t="s">
        <v>692</v>
      </c>
      <c r="D33" s="1259"/>
      <c r="E33" s="1027"/>
      <c r="F33" s="1017"/>
      <c r="G33" s="1028" t="s">
        <v>687</v>
      </c>
      <c r="H33" s="1262"/>
      <c r="I33" s="1263"/>
      <c r="K33" s="1319"/>
      <c r="L33" s="1320"/>
      <c r="M33" s="1320"/>
      <c r="N33" s="1320"/>
      <c r="O33" s="1320"/>
      <c r="P33" s="1320"/>
      <c r="Q33" s="1320"/>
      <c r="R33" s="1320"/>
      <c r="S33" s="1324"/>
    </row>
    <row r="34" spans="2:19" ht="17.25" customHeight="1">
      <c r="B34" s="1018"/>
      <c r="C34" s="1258" t="s">
        <v>691</v>
      </c>
      <c r="D34" s="1259"/>
      <c r="E34" s="1021"/>
      <c r="F34" s="1017"/>
      <c r="G34" s="1258" t="s">
        <v>686</v>
      </c>
      <c r="H34" s="1259"/>
      <c r="I34" s="1027"/>
      <c r="K34" s="1319"/>
      <c r="L34" s="1320"/>
      <c r="M34" s="1320"/>
      <c r="N34" s="1320"/>
      <c r="O34" s="1320"/>
      <c r="P34" s="1320"/>
      <c r="Q34" s="1320"/>
      <c r="R34" s="1320"/>
      <c r="S34" s="1324"/>
    </row>
    <row r="35" spans="2:19" ht="17.25" customHeight="1">
      <c r="B35" s="1018"/>
      <c r="C35" s="1258" t="s">
        <v>690</v>
      </c>
      <c r="D35" s="1259"/>
      <c r="E35" s="1021"/>
      <c r="F35" s="1017"/>
      <c r="G35" s="1268" t="s">
        <v>689</v>
      </c>
      <c r="H35" s="1269"/>
      <c r="I35" s="1270"/>
      <c r="K35" s="1319"/>
      <c r="L35" s="1320"/>
      <c r="M35" s="1320"/>
      <c r="N35" s="1320"/>
      <c r="O35" s="1320"/>
      <c r="P35" s="1320"/>
      <c r="Q35" s="1320"/>
      <c r="R35" s="1320"/>
      <c r="S35" s="1324"/>
    </row>
    <row r="36" spans="2:19" ht="17.25" customHeight="1">
      <c r="B36" s="1018"/>
      <c r="C36" s="1268" t="s">
        <v>688</v>
      </c>
      <c r="D36" s="1269"/>
      <c r="E36" s="1270"/>
      <c r="F36" s="1017"/>
      <c r="G36" s="1028" t="s">
        <v>687</v>
      </c>
      <c r="H36" s="1262"/>
      <c r="I36" s="1263"/>
      <c r="K36" s="1319"/>
      <c r="L36" s="1320"/>
      <c r="M36" s="1320"/>
      <c r="N36" s="1320"/>
      <c r="O36" s="1320"/>
      <c r="P36" s="1320"/>
      <c r="Q36" s="1320"/>
      <c r="R36" s="1320"/>
      <c r="S36" s="1324"/>
    </row>
    <row r="37" spans="2:19" ht="17.25" customHeight="1" thickBot="1">
      <c r="B37" s="1018"/>
      <c r="C37" s="1273" t="s">
        <v>678</v>
      </c>
      <c r="D37" s="1274"/>
      <c r="E37" s="1021"/>
      <c r="F37" s="1017"/>
      <c r="G37" s="1258" t="s">
        <v>686</v>
      </c>
      <c r="H37" s="1259"/>
      <c r="I37" s="1027"/>
      <c r="K37" s="1321"/>
      <c r="L37" s="1322"/>
      <c r="M37" s="1322"/>
      <c r="N37" s="1322"/>
      <c r="O37" s="1322"/>
      <c r="P37" s="1322"/>
      <c r="Q37" s="1322"/>
      <c r="R37" s="1322"/>
      <c r="S37" s="1325"/>
    </row>
    <row r="38" spans="2:19" ht="17.25" customHeight="1" thickBot="1">
      <c r="B38" s="1018"/>
      <c r="C38" s="1273" t="s">
        <v>677</v>
      </c>
      <c r="D38" s="1274"/>
      <c r="E38" s="1021"/>
      <c r="F38" s="1017"/>
      <c r="G38" s="1268" t="s">
        <v>685</v>
      </c>
      <c r="H38" s="1269"/>
      <c r="I38" s="1270"/>
      <c r="K38" s="1308" t="s">
        <v>684</v>
      </c>
      <c r="L38" s="1309"/>
      <c r="M38" s="1309"/>
      <c r="N38" s="1309"/>
      <c r="O38" s="1309"/>
      <c r="P38" s="1309"/>
      <c r="Q38" s="1309"/>
      <c r="R38" s="1309"/>
      <c r="S38" s="1310"/>
    </row>
    <row r="39" spans="2:19" ht="17.25" customHeight="1">
      <c r="B39" s="1018"/>
      <c r="C39" s="1273" t="s">
        <v>675</v>
      </c>
      <c r="D39" s="1274"/>
      <c r="E39" s="1021"/>
      <c r="F39" s="1017"/>
      <c r="G39" s="1280"/>
      <c r="H39" s="1281"/>
      <c r="I39" s="1282"/>
      <c r="K39" s="1329" t="s">
        <v>683</v>
      </c>
      <c r="L39" s="1330"/>
      <c r="M39" s="1330"/>
      <c r="N39" s="1334"/>
      <c r="O39" s="1334"/>
      <c r="P39" s="1334"/>
      <c r="Q39" s="1334"/>
      <c r="R39" s="1334"/>
      <c r="S39" s="1335"/>
    </row>
    <row r="40" spans="2:19" ht="17.25" customHeight="1">
      <c r="B40" s="1018"/>
      <c r="C40" s="1258" t="s">
        <v>682</v>
      </c>
      <c r="D40" s="1259"/>
      <c r="E40" s="1021"/>
      <c r="F40" s="1017"/>
      <c r="G40" s="1283"/>
      <c r="H40" s="1284"/>
      <c r="I40" s="1285"/>
      <c r="K40" s="1331" t="s">
        <v>681</v>
      </c>
      <c r="L40" s="1332"/>
      <c r="M40" s="1333"/>
      <c r="N40" s="1336" t="s">
        <v>680</v>
      </c>
      <c r="O40" s="1337"/>
      <c r="P40" s="1337"/>
      <c r="Q40" s="1337"/>
      <c r="R40" s="1337"/>
      <c r="S40" s="1338"/>
    </row>
    <row r="41" spans="2:19" ht="17.25" customHeight="1">
      <c r="B41" s="1018"/>
      <c r="C41" s="1268" t="s">
        <v>679</v>
      </c>
      <c r="D41" s="1269"/>
      <c r="E41" s="1270"/>
      <c r="F41" s="1017"/>
      <c r="G41" s="1283"/>
      <c r="H41" s="1284"/>
      <c r="I41" s="1285"/>
      <c r="K41" s="1026" t="s">
        <v>678</v>
      </c>
      <c r="L41" s="1025" t="s">
        <v>677</v>
      </c>
      <c r="M41" s="1025" t="s">
        <v>675</v>
      </c>
      <c r="N41" s="1339"/>
      <c r="O41" s="1340"/>
      <c r="P41" s="1340"/>
      <c r="Q41" s="1340"/>
      <c r="R41" s="1340"/>
      <c r="S41" s="1341"/>
    </row>
    <row r="42" spans="2:19" ht="17.25" customHeight="1">
      <c r="B42" s="1018"/>
      <c r="C42" s="1273" t="s">
        <v>678</v>
      </c>
      <c r="D42" s="1274"/>
      <c r="E42" s="1021"/>
      <c r="F42" s="1017"/>
      <c r="G42" s="1283"/>
      <c r="H42" s="1284"/>
      <c r="I42" s="1285"/>
      <c r="K42" s="1024"/>
      <c r="L42" s="1023"/>
      <c r="M42" s="1023"/>
      <c r="N42" s="1342"/>
      <c r="O42" s="1343"/>
      <c r="P42" s="1343"/>
      <c r="Q42" s="1343"/>
      <c r="R42" s="1343"/>
      <c r="S42" s="1344"/>
    </row>
    <row r="43" spans="2:19" ht="17.25" customHeight="1">
      <c r="B43" s="1018"/>
      <c r="C43" s="1273" t="s">
        <v>677</v>
      </c>
      <c r="D43" s="1274"/>
      <c r="E43" s="1021"/>
      <c r="F43" s="1017"/>
      <c r="G43" s="1283"/>
      <c r="H43" s="1284"/>
      <c r="I43" s="1285"/>
      <c r="K43" s="1275" t="s">
        <v>676</v>
      </c>
      <c r="L43" s="1276"/>
      <c r="M43" s="1022"/>
      <c r="N43" s="1342"/>
      <c r="O43" s="1343"/>
      <c r="P43" s="1343"/>
      <c r="Q43" s="1343"/>
      <c r="R43" s="1343"/>
      <c r="S43" s="1344"/>
    </row>
    <row r="44" spans="2:19" ht="17.25" customHeight="1">
      <c r="B44" s="1018"/>
      <c r="C44" s="1273" t="s">
        <v>675</v>
      </c>
      <c r="D44" s="1274"/>
      <c r="E44" s="1021"/>
      <c r="F44" s="1017"/>
      <c r="G44" s="1283"/>
      <c r="H44" s="1284"/>
      <c r="I44" s="1285"/>
      <c r="K44" s="1275" t="s">
        <v>674</v>
      </c>
      <c r="L44" s="1276"/>
      <c r="M44" s="1022"/>
      <c r="N44" s="1342"/>
      <c r="O44" s="1343"/>
      <c r="P44" s="1343"/>
      <c r="Q44" s="1343"/>
      <c r="R44" s="1343"/>
      <c r="S44" s="1344"/>
    </row>
    <row r="45" spans="2:19" ht="17.25" customHeight="1">
      <c r="B45" s="1018"/>
      <c r="C45" s="1258" t="s">
        <v>673</v>
      </c>
      <c r="D45" s="1259"/>
      <c r="E45" s="1021"/>
      <c r="F45" s="1017"/>
      <c r="G45" s="1283"/>
      <c r="H45" s="1284"/>
      <c r="I45" s="1285"/>
      <c r="K45" s="1275" t="s">
        <v>672</v>
      </c>
      <c r="L45" s="1276"/>
      <c r="M45" s="1020"/>
      <c r="N45" s="1342"/>
      <c r="O45" s="1343"/>
      <c r="P45" s="1343"/>
      <c r="Q45" s="1343"/>
      <c r="R45" s="1343"/>
      <c r="S45" s="1344"/>
    </row>
    <row r="46" spans="2:19" ht="17.25" customHeight="1">
      <c r="B46" s="1018"/>
      <c r="C46" s="1275" t="s">
        <v>671</v>
      </c>
      <c r="D46" s="1276"/>
      <c r="E46" s="1019"/>
      <c r="F46" s="1017"/>
      <c r="G46" s="1283"/>
      <c r="H46" s="1284"/>
      <c r="I46" s="1285"/>
      <c r="K46" s="1348"/>
      <c r="L46" s="1349"/>
      <c r="M46" s="1350"/>
      <c r="N46" s="1342"/>
      <c r="O46" s="1343"/>
      <c r="P46" s="1343"/>
      <c r="Q46" s="1343"/>
      <c r="R46" s="1343"/>
      <c r="S46" s="1344"/>
    </row>
    <row r="47" spans="2:19" ht="17.25" customHeight="1">
      <c r="B47" s="1018"/>
      <c r="C47" s="1268" t="s">
        <v>670</v>
      </c>
      <c r="D47" s="1269"/>
      <c r="E47" s="1270"/>
      <c r="F47" s="1017"/>
      <c r="G47" s="1283"/>
      <c r="H47" s="1284"/>
      <c r="I47" s="1285"/>
      <c r="K47" s="1351"/>
      <c r="L47" s="1352"/>
      <c r="M47" s="1353"/>
      <c r="N47" s="1342"/>
      <c r="O47" s="1343"/>
      <c r="P47" s="1343"/>
      <c r="Q47" s="1343"/>
      <c r="R47" s="1343"/>
      <c r="S47" s="1344"/>
    </row>
    <row r="48" spans="2:19" ht="17.25" customHeight="1" thickBot="1">
      <c r="B48" s="1018"/>
      <c r="C48" s="1277"/>
      <c r="D48" s="1278"/>
      <c r="E48" s="1279"/>
      <c r="F48" s="1017"/>
      <c r="G48" s="1286"/>
      <c r="H48" s="1287"/>
      <c r="I48" s="1288"/>
      <c r="K48" s="1354"/>
      <c r="L48" s="1355"/>
      <c r="M48" s="1356"/>
      <c r="N48" s="1345"/>
      <c r="O48" s="1346"/>
      <c r="P48" s="1346"/>
      <c r="Q48" s="1346"/>
      <c r="R48" s="1346"/>
      <c r="S48" s="1347"/>
    </row>
  </sheetData>
  <mergeCells count="96">
    <mergeCell ref="N39:S39"/>
    <mergeCell ref="K44:L44"/>
    <mergeCell ref="K45:L45"/>
    <mergeCell ref="K43:L43"/>
    <mergeCell ref="C41:E41"/>
    <mergeCell ref="C42:D42"/>
    <mergeCell ref="C43:D43"/>
    <mergeCell ref="C44:D44"/>
    <mergeCell ref="N40:S40"/>
    <mergeCell ref="N41:S48"/>
    <mergeCell ref="K46:M48"/>
    <mergeCell ref="K25:S25"/>
    <mergeCell ref="K26:M37"/>
    <mergeCell ref="N26:P37"/>
    <mergeCell ref="Q26:S37"/>
    <mergeCell ref="C48:E48"/>
    <mergeCell ref="G39:I48"/>
    <mergeCell ref="C46:D46"/>
    <mergeCell ref="C38:D38"/>
    <mergeCell ref="G38:I38"/>
    <mergeCell ref="C39:D39"/>
    <mergeCell ref="C45:D45"/>
    <mergeCell ref="K38:S38"/>
    <mergeCell ref="K39:M39"/>
    <mergeCell ref="K40:M40"/>
    <mergeCell ref="C47:E47"/>
    <mergeCell ref="C40:D40"/>
    <mergeCell ref="K13:M24"/>
    <mergeCell ref="G16:I16"/>
    <mergeCell ref="K12:S12"/>
    <mergeCell ref="H17:I17"/>
    <mergeCell ref="G18:H18"/>
    <mergeCell ref="G19:I19"/>
    <mergeCell ref="N13:P24"/>
    <mergeCell ref="Q13:S24"/>
    <mergeCell ref="M6:S6"/>
    <mergeCell ref="M7:S7"/>
    <mergeCell ref="K10:L10"/>
    <mergeCell ref="K9:L9"/>
    <mergeCell ref="M8:S8"/>
    <mergeCell ref="M9:S9"/>
    <mergeCell ref="M10:S10"/>
    <mergeCell ref="C37:D37"/>
    <mergeCell ref="G37:H37"/>
    <mergeCell ref="C2:S2"/>
    <mergeCell ref="G8:I10"/>
    <mergeCell ref="K5:L5"/>
    <mergeCell ref="K6:L6"/>
    <mergeCell ref="K7:L7"/>
    <mergeCell ref="K8:L8"/>
    <mergeCell ref="M5:S5"/>
    <mergeCell ref="K4:S4"/>
    <mergeCell ref="C34:D34"/>
    <mergeCell ref="G34:H34"/>
    <mergeCell ref="C35:D35"/>
    <mergeCell ref="G35:I35"/>
    <mergeCell ref="C36:E36"/>
    <mergeCell ref="H36:I36"/>
    <mergeCell ref="C28:E28"/>
    <mergeCell ref="C29:E29"/>
    <mergeCell ref="C26:D26"/>
    <mergeCell ref="D32:E32"/>
    <mergeCell ref="G32:I32"/>
    <mergeCell ref="G20:I29"/>
    <mergeCell ref="C33:D33"/>
    <mergeCell ref="H33:I33"/>
    <mergeCell ref="D13:E13"/>
    <mergeCell ref="C17:E17"/>
    <mergeCell ref="C18:D18"/>
    <mergeCell ref="C19:D19"/>
    <mergeCell ref="C31:E31"/>
    <mergeCell ref="G31:I31"/>
    <mergeCell ref="C24:D24"/>
    <mergeCell ref="C25:D25"/>
    <mergeCell ref="C21:D21"/>
    <mergeCell ref="C27:D27"/>
    <mergeCell ref="C20:D20"/>
    <mergeCell ref="C22:E22"/>
    <mergeCell ref="C23:D23"/>
    <mergeCell ref="H14:I14"/>
    <mergeCell ref="C15:D15"/>
    <mergeCell ref="C16:D16"/>
    <mergeCell ref="C14:D14"/>
    <mergeCell ref="C12:E12"/>
    <mergeCell ref="H6:I6"/>
    <mergeCell ref="D9:E9"/>
    <mergeCell ref="D8:E8"/>
    <mergeCell ref="D10:E10"/>
    <mergeCell ref="G12:I12"/>
    <mergeCell ref="G13:I13"/>
    <mergeCell ref="G15:H15"/>
    <mergeCell ref="C4:E4"/>
    <mergeCell ref="G4:I4"/>
    <mergeCell ref="H5:I5"/>
    <mergeCell ref="H7:I7"/>
    <mergeCell ref="D7:E7"/>
  </mergeCells>
  <pageMargins left="0.25" right="0.25" top="0.75" bottom="0.75" header="0.3" footer="0.3"/>
  <pageSetup paperSize="9" scale="58" orientation="landscape" r:id="rId1"/>
  <customProperties>
    <customPr name="Ibp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showGridLines="0" zoomScale="125" zoomScaleNormal="125" workbookViewId="0">
      <selection activeCell="C18" sqref="C18"/>
    </sheetView>
  </sheetViews>
  <sheetFormatPr defaultRowHeight="12.75"/>
  <cols>
    <col min="1" max="1" width="25.85546875" style="23" customWidth="1"/>
    <col min="2" max="2" width="24.7109375" style="23" customWidth="1"/>
    <col min="3" max="3" width="33.85546875" style="23" customWidth="1"/>
    <col min="4" max="5" width="8.7109375" style="23" customWidth="1"/>
    <col min="6" max="6" width="9.140625" style="202" hidden="1" customWidth="1"/>
    <col min="7" max="16384" width="9.140625" style="23"/>
  </cols>
  <sheetData>
    <row r="1" spans="1:6" ht="9.75" customHeight="1">
      <c r="A1" s="3"/>
      <c r="B1" s="3"/>
      <c r="C1" s="3"/>
      <c r="D1" s="3"/>
      <c r="E1" s="3"/>
      <c r="F1" s="246" t="b">
        <v>1</v>
      </c>
    </row>
    <row r="2" spans="1:6" ht="16.5" customHeight="1">
      <c r="A2" s="3"/>
      <c r="B2" s="3"/>
      <c r="C2" s="3"/>
      <c r="D2" s="3"/>
      <c r="E2" s="3"/>
      <c r="F2" s="188"/>
    </row>
    <row r="3" spans="1:6" ht="16.5" customHeight="1">
      <c r="A3" s="3"/>
      <c r="B3" s="3"/>
      <c r="C3" s="3"/>
      <c r="D3" s="3"/>
      <c r="E3" s="3"/>
      <c r="F3" s="188"/>
    </row>
    <row r="4" spans="1:6" s="24" customFormat="1" ht="11.25">
      <c r="A4" s="27"/>
      <c r="B4" s="27"/>
      <c r="C4" s="27" t="s">
        <v>99</v>
      </c>
      <c r="D4" s="265" t="s">
        <v>100</v>
      </c>
      <c r="E4" s="5"/>
      <c r="F4" s="184" t="s">
        <v>5</v>
      </c>
    </row>
    <row r="5" spans="1:6">
      <c r="A5" s="27"/>
      <c r="B5" s="27"/>
      <c r="C5" s="27"/>
      <c r="D5" s="351"/>
      <c r="E5" s="10"/>
      <c r="F5" s="184" t="s">
        <v>10</v>
      </c>
    </row>
    <row r="6" spans="1:6" s="24" customFormat="1" ht="11.25">
      <c r="A6" s="257" t="s">
        <v>98</v>
      </c>
      <c r="B6" s="266"/>
      <c r="C6" s="257" t="s">
        <v>254</v>
      </c>
      <c r="D6" s="265"/>
      <c r="E6" s="12"/>
      <c r="F6" s="201"/>
    </row>
    <row r="7" spans="1:6">
      <c r="A7" s="156"/>
      <c r="B7" s="268"/>
      <c r="C7" s="156"/>
      <c r="D7" s="145"/>
      <c r="E7" s="11"/>
    </row>
    <row r="8" spans="1:6" s="24" customFormat="1" ht="11.25">
      <c r="A8" s="257" t="s">
        <v>207</v>
      </c>
      <c r="B8" s="266"/>
      <c r="C8" s="257" t="s">
        <v>256</v>
      </c>
      <c r="D8" s="258"/>
      <c r="E8" s="8"/>
      <c r="F8" s="201"/>
    </row>
    <row r="9" spans="1:6" ht="13.5" thickBot="1">
      <c r="A9" s="156"/>
      <c r="B9" s="268"/>
      <c r="C9" s="156"/>
      <c r="D9" s="145"/>
      <c r="E9" s="11"/>
    </row>
    <row r="10" spans="1:6" s="207" customFormat="1">
      <c r="A10" s="1012" t="s">
        <v>642</v>
      </c>
      <c r="B10" s="1013" t="s">
        <v>640</v>
      </c>
      <c r="C10" s="1013" t="s">
        <v>641</v>
      </c>
      <c r="D10" s="1013" t="s">
        <v>25</v>
      </c>
      <c r="E10" s="1014" t="s">
        <v>26</v>
      </c>
      <c r="F10" s="244"/>
    </row>
    <row r="11" spans="1:6" s="211" customFormat="1">
      <c r="A11" s="1045" t="s">
        <v>643</v>
      </c>
      <c r="B11" s="213"/>
      <c r="C11" s="213"/>
      <c r="D11" s="213"/>
      <c r="E11" s="214"/>
      <c r="F11" s="245"/>
    </row>
    <row r="12" spans="1:6" s="211" customFormat="1" ht="13.5" customHeight="1">
      <c r="A12" s="1045" t="s">
        <v>644</v>
      </c>
      <c r="B12" s="213"/>
      <c r="C12" s="213"/>
      <c r="D12" s="213"/>
      <c r="E12" s="214"/>
      <c r="F12" s="245"/>
    </row>
    <row r="13" spans="1:6" s="211" customFormat="1" ht="13.5" customHeight="1">
      <c r="A13" s="1045" t="s">
        <v>645</v>
      </c>
      <c r="B13" s="213"/>
      <c r="C13" s="213"/>
      <c r="D13" s="213"/>
      <c r="E13" s="214"/>
      <c r="F13" s="245"/>
    </row>
    <row r="14" spans="1:6" s="211" customFormat="1">
      <c r="A14" s="1045" t="s">
        <v>646</v>
      </c>
      <c r="B14" s="213"/>
      <c r="C14" s="213"/>
      <c r="D14" s="213"/>
      <c r="E14" s="214"/>
      <c r="F14" s="245"/>
    </row>
    <row r="15" spans="1:6" s="211" customFormat="1">
      <c r="A15" s="1045" t="s">
        <v>647</v>
      </c>
      <c r="B15" s="213"/>
      <c r="C15" s="213"/>
      <c r="D15" s="213"/>
      <c r="E15" s="214"/>
      <c r="F15" s="245"/>
    </row>
    <row r="16" spans="1:6" s="211" customFormat="1" ht="13.5" customHeight="1">
      <c r="A16" s="1045" t="s">
        <v>648</v>
      </c>
      <c r="B16" s="213"/>
      <c r="C16" s="213"/>
      <c r="D16" s="213"/>
      <c r="E16" s="214"/>
      <c r="F16" s="245"/>
    </row>
    <row r="17" spans="1:6" s="211" customFormat="1">
      <c r="A17" s="1045" t="s">
        <v>654</v>
      </c>
      <c r="B17" s="213"/>
      <c r="C17" s="213"/>
      <c r="D17" s="213"/>
      <c r="E17" s="214"/>
      <c r="F17" s="245"/>
    </row>
    <row r="18" spans="1:6" s="211" customFormat="1">
      <c r="A18" s="1045" t="s">
        <v>649</v>
      </c>
      <c r="B18" s="213"/>
      <c r="C18" s="213"/>
      <c r="D18" s="213"/>
      <c r="E18" s="214"/>
      <c r="F18" s="245"/>
    </row>
    <row r="19" spans="1:6" s="211" customFormat="1">
      <c r="A19" s="1045" t="s">
        <v>653</v>
      </c>
      <c r="B19" s="213"/>
      <c r="C19" s="213"/>
      <c r="D19" s="213"/>
      <c r="E19" s="214"/>
      <c r="F19" s="245"/>
    </row>
    <row r="20" spans="1:6" s="211" customFormat="1">
      <c r="A20" s="1045" t="s">
        <v>650</v>
      </c>
      <c r="B20" s="213"/>
      <c r="C20" s="213"/>
      <c r="D20" s="213"/>
      <c r="E20" s="214"/>
      <c r="F20" s="245"/>
    </row>
    <row r="21" spans="1:6" s="211" customFormat="1">
      <c r="A21" s="1045" t="s">
        <v>651</v>
      </c>
      <c r="B21" s="213"/>
      <c r="C21" s="213"/>
      <c r="D21" s="213"/>
      <c r="E21" s="214"/>
      <c r="F21" s="245"/>
    </row>
    <row r="22" spans="1:6" s="211" customFormat="1">
      <c r="A22" s="1045" t="s">
        <v>652</v>
      </c>
      <c r="B22" s="213"/>
      <c r="C22" s="213"/>
      <c r="D22" s="213"/>
      <c r="E22" s="214"/>
      <c r="F22" s="245"/>
    </row>
    <row r="23" spans="1:6" s="211" customFormat="1">
      <c r="A23" s="1045" t="s">
        <v>655</v>
      </c>
      <c r="B23" s="213"/>
      <c r="C23" s="213"/>
      <c r="D23" s="213"/>
      <c r="E23" s="214"/>
      <c r="F23" s="245"/>
    </row>
    <row r="24" spans="1:6" s="211" customFormat="1">
      <c r="A24" s="1045" t="s">
        <v>656</v>
      </c>
      <c r="B24" s="213"/>
      <c r="C24" s="213"/>
      <c r="D24" s="213"/>
      <c r="E24" s="214"/>
      <c r="F24" s="245"/>
    </row>
    <row r="25" spans="1:6" s="211" customFormat="1">
      <c r="A25" s="1045" t="s">
        <v>657</v>
      </c>
      <c r="B25" s="213"/>
      <c r="C25" s="213"/>
      <c r="D25" s="213"/>
      <c r="E25" s="214"/>
      <c r="F25" s="245"/>
    </row>
    <row r="26" spans="1:6" s="211" customFormat="1">
      <c r="A26" s="1045" t="s">
        <v>658</v>
      </c>
      <c r="B26" s="213"/>
      <c r="C26" s="213"/>
      <c r="D26" s="213"/>
      <c r="E26" s="214"/>
      <c r="F26" s="245"/>
    </row>
    <row r="27" spans="1:6" s="211" customFormat="1" ht="12" customHeight="1">
      <c r="A27" s="1045" t="s">
        <v>659</v>
      </c>
      <c r="B27" s="213"/>
      <c r="C27" s="213"/>
      <c r="D27" s="213"/>
      <c r="E27" s="214"/>
      <c r="F27" s="245"/>
    </row>
    <row r="28" spans="1:6" s="211" customFormat="1">
      <c r="A28" s="1045" t="s">
        <v>660</v>
      </c>
      <c r="B28" s="213"/>
      <c r="C28" s="213"/>
      <c r="D28" s="213"/>
      <c r="E28" s="214"/>
      <c r="F28" s="245"/>
    </row>
    <row r="29" spans="1:6" s="211" customFormat="1">
      <c r="A29" s="1045"/>
      <c r="B29" s="213"/>
      <c r="C29" s="213"/>
      <c r="D29" s="213"/>
      <c r="E29" s="214"/>
      <c r="F29" s="245"/>
    </row>
    <row r="30" spans="1:6" s="211" customFormat="1">
      <c r="A30" s="1045"/>
      <c r="B30" s="213"/>
      <c r="C30" s="213"/>
      <c r="D30" s="213"/>
      <c r="E30" s="214"/>
      <c r="F30" s="245"/>
    </row>
    <row r="31" spans="1:6" s="211" customFormat="1">
      <c r="A31" s="1045"/>
      <c r="B31" s="213"/>
      <c r="C31" s="213"/>
      <c r="D31" s="213"/>
      <c r="E31" s="214"/>
      <c r="F31" s="245"/>
    </row>
    <row r="32" spans="1:6" s="211" customFormat="1">
      <c r="A32" s="1045"/>
      <c r="B32" s="213"/>
      <c r="C32" s="213"/>
      <c r="D32" s="213"/>
      <c r="E32" s="214"/>
      <c r="F32" s="245"/>
    </row>
    <row r="33" spans="1:6" s="211" customFormat="1">
      <c r="A33" s="1045"/>
      <c r="B33" s="213"/>
      <c r="C33" s="213"/>
      <c r="D33" s="213"/>
      <c r="E33" s="214"/>
      <c r="F33" s="245"/>
    </row>
    <row r="34" spans="1:6" s="211" customFormat="1">
      <c r="A34" s="1045" t="s">
        <v>305</v>
      </c>
      <c r="B34" s="213"/>
      <c r="C34" s="213"/>
      <c r="D34" s="213"/>
      <c r="E34" s="214"/>
      <c r="F34" s="245"/>
    </row>
    <row r="35" spans="1:6" s="211" customFormat="1">
      <c r="A35" s="1045"/>
      <c r="B35" s="213"/>
      <c r="C35" s="213"/>
      <c r="D35" s="213"/>
      <c r="E35" s="214"/>
      <c r="F35" s="245"/>
    </row>
    <row r="36" spans="1:6" s="211" customFormat="1">
      <c r="A36" s="1045"/>
      <c r="B36" s="213"/>
      <c r="C36" s="213"/>
      <c r="D36" s="213"/>
      <c r="E36" s="214"/>
      <c r="F36" s="245"/>
    </row>
    <row r="37" spans="1:6" s="211" customFormat="1">
      <c r="A37" s="1045"/>
      <c r="B37" s="213"/>
      <c r="C37" s="213"/>
      <c r="D37" s="213"/>
      <c r="E37" s="214"/>
      <c r="F37" s="245"/>
    </row>
    <row r="38" spans="1:6" s="211" customFormat="1">
      <c r="A38" s="1366" t="s">
        <v>661</v>
      </c>
      <c r="B38" s="1357"/>
      <c r="C38" s="1358"/>
      <c r="D38" s="1358"/>
      <c r="E38" s="1359"/>
      <c r="F38" s="245"/>
    </row>
    <row r="39" spans="1:6" s="211" customFormat="1">
      <c r="A39" s="1367"/>
      <c r="B39" s="1360"/>
      <c r="C39" s="1361"/>
      <c r="D39" s="1361"/>
      <c r="E39" s="1362"/>
      <c r="F39" s="245"/>
    </row>
    <row r="40" spans="1:6" s="211" customFormat="1">
      <c r="A40" s="1367"/>
      <c r="B40" s="1360"/>
      <c r="C40" s="1361"/>
      <c r="D40" s="1361"/>
      <c r="E40" s="1362"/>
      <c r="F40" s="245"/>
    </row>
    <row r="41" spans="1:6" s="211" customFormat="1">
      <c r="A41" s="1367"/>
      <c r="B41" s="1360"/>
      <c r="C41" s="1361"/>
      <c r="D41" s="1361"/>
      <c r="E41" s="1362"/>
      <c r="F41" s="245"/>
    </row>
    <row r="42" spans="1:6" s="211" customFormat="1">
      <c r="A42" s="1368"/>
      <c r="B42" s="1363"/>
      <c r="C42" s="1364"/>
      <c r="D42" s="1364"/>
      <c r="E42" s="1365"/>
      <c r="F42" s="245"/>
    </row>
    <row r="43" spans="1:6" s="211" customFormat="1">
      <c r="A43" s="1366" t="s">
        <v>662</v>
      </c>
      <c r="B43" s="1357"/>
      <c r="C43" s="1358"/>
      <c r="D43" s="1358"/>
      <c r="E43" s="1359"/>
      <c r="F43" s="245"/>
    </row>
    <row r="44" spans="1:6" s="211" customFormat="1">
      <c r="A44" s="1367"/>
      <c r="B44" s="1360"/>
      <c r="C44" s="1361"/>
      <c r="D44" s="1361"/>
      <c r="E44" s="1362"/>
      <c r="F44" s="245"/>
    </row>
    <row r="45" spans="1:6" s="211" customFormat="1">
      <c r="A45" s="1367"/>
      <c r="B45" s="1360"/>
      <c r="C45" s="1361"/>
      <c r="D45" s="1361"/>
      <c r="E45" s="1362"/>
      <c r="F45" s="245"/>
    </row>
    <row r="46" spans="1:6" s="211" customFormat="1">
      <c r="A46" s="1367"/>
      <c r="B46" s="1360"/>
      <c r="C46" s="1361"/>
      <c r="D46" s="1361"/>
      <c r="E46" s="1362"/>
      <c r="F46" s="245"/>
    </row>
    <row r="47" spans="1:6" s="211" customFormat="1">
      <c r="A47" s="1367"/>
      <c r="B47" s="1360"/>
      <c r="C47" s="1361"/>
      <c r="D47" s="1361"/>
      <c r="E47" s="1362"/>
      <c r="F47" s="245"/>
    </row>
    <row r="48" spans="1:6" s="211" customFormat="1" ht="13.5" thickBot="1">
      <c r="A48" s="1369"/>
      <c r="B48" s="1370"/>
      <c r="C48" s="1371"/>
      <c r="D48" s="1371"/>
      <c r="E48" s="1372"/>
      <c r="F48" s="245"/>
    </row>
    <row r="49" spans="1:6">
      <c r="A49" s="3"/>
      <c r="B49" s="352"/>
      <c r="C49" s="352"/>
      <c r="D49" s="352"/>
      <c r="E49" s="3"/>
    </row>
    <row r="50" spans="1:6">
      <c r="A50" s="1015" t="s">
        <v>663</v>
      </c>
      <c r="B50" s="353" t="s">
        <v>76</v>
      </c>
      <c r="C50" s="353" t="s">
        <v>35</v>
      </c>
      <c r="D50" s="299" t="s">
        <v>27</v>
      </c>
      <c r="E50" s="8"/>
    </row>
    <row r="51" spans="1:6">
      <c r="A51" s="1015"/>
      <c r="B51" s="219"/>
      <c r="C51" s="219"/>
      <c r="D51" s="218"/>
      <c r="E51" s="198"/>
    </row>
    <row r="52" spans="1:6" s="24" customFormat="1" ht="11.25">
      <c r="A52" s="1015" t="s">
        <v>664</v>
      </c>
      <c r="B52" s="353" t="s">
        <v>76</v>
      </c>
      <c r="C52" s="353" t="s">
        <v>35</v>
      </c>
      <c r="D52" s="299" t="s">
        <v>27</v>
      </c>
      <c r="E52" s="8"/>
      <c r="F52" s="201"/>
    </row>
    <row r="53" spans="1:6">
      <c r="A53" s="1015"/>
      <c r="B53" s="219"/>
      <c r="C53" s="219"/>
      <c r="D53" s="218"/>
      <c r="E53" s="198"/>
    </row>
  </sheetData>
  <mergeCells count="4">
    <mergeCell ref="B38:E42"/>
    <mergeCell ref="A38:A42"/>
    <mergeCell ref="A43:A48"/>
    <mergeCell ref="B43:E48"/>
  </mergeCells>
  <pageMargins left="0.39370078740157483" right="0.31496062992125984" top="0.6692913385826772" bottom="0.70866141732283472" header="0.39370078740157483" footer="0.51181102362204722"/>
  <pageSetup scale="99" orientation="portrait" r:id="rId1"/>
  <headerFooter alignWithMargins="0"/>
  <customProperties>
    <customPr name="Ibp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
  <sheetViews>
    <sheetView showGridLines="0" view="pageBreakPreview" zoomScale="80" zoomScaleNormal="100" zoomScaleSheetLayoutView="80" workbookViewId="0">
      <selection activeCell="G88" sqref="G88"/>
    </sheetView>
  </sheetViews>
  <sheetFormatPr defaultRowHeight="12.75"/>
  <cols>
    <col min="1" max="1" width="3.42578125" style="233" customWidth="1"/>
    <col min="2" max="2" width="20.85546875" style="233" customWidth="1"/>
    <col min="3" max="3" width="9.7109375" style="233" customWidth="1"/>
    <col min="4" max="4" width="10.5703125" style="233" customWidth="1"/>
    <col min="5" max="5" width="9.7109375" style="233" customWidth="1"/>
    <col min="6" max="6" width="13.7109375" style="233" customWidth="1"/>
    <col min="7" max="13" width="9.7109375" style="233" customWidth="1"/>
    <col min="14" max="14" width="0" style="228" hidden="1" customWidth="1"/>
    <col min="15" max="16" width="6.28515625" style="192" hidden="1" customWidth="1"/>
    <col min="17" max="19" width="0" style="228" hidden="1" customWidth="1"/>
    <col min="20" max="16384" width="9.140625" style="233"/>
  </cols>
  <sheetData>
    <row r="1" spans="1:19">
      <c r="A1" s="400"/>
      <c r="B1" s="419"/>
      <c r="C1" s="419"/>
      <c r="D1" s="419"/>
      <c r="E1" s="419"/>
      <c r="F1" s="419"/>
      <c r="G1" s="419"/>
      <c r="H1" s="419"/>
      <c r="I1" s="419"/>
      <c r="J1" s="419"/>
      <c r="K1" s="419"/>
      <c r="L1" s="419"/>
      <c r="M1" s="420"/>
      <c r="N1" s="202"/>
    </row>
    <row r="2" spans="1:19" s="231" customFormat="1" ht="18">
      <c r="A2" s="428"/>
      <c r="B2" s="144"/>
      <c r="C2" s="144"/>
      <c r="D2" s="421"/>
      <c r="E2" s="144"/>
      <c r="F2" s="144"/>
      <c r="G2" s="144"/>
      <c r="H2" s="144"/>
      <c r="I2" s="144"/>
      <c r="J2" s="144"/>
      <c r="K2" s="144"/>
      <c r="L2" s="144"/>
      <c r="M2" s="422"/>
      <c r="N2" s="235"/>
      <c r="O2" s="232"/>
      <c r="P2" s="232"/>
      <c r="Q2" s="236"/>
      <c r="R2" s="236"/>
      <c r="S2" s="236"/>
    </row>
    <row r="3" spans="1:19" ht="16.5" customHeight="1">
      <c r="A3" s="408"/>
      <c r="B3" s="30"/>
      <c r="C3" s="30"/>
      <c r="D3" s="30"/>
      <c r="E3" s="306" t="s">
        <v>255</v>
      </c>
      <c r="F3" s="30"/>
      <c r="G3" s="30"/>
      <c r="H3" s="30"/>
      <c r="I3" s="30"/>
      <c r="J3" s="30"/>
      <c r="K3" s="30"/>
      <c r="L3" s="30"/>
      <c r="M3" s="423"/>
      <c r="N3" s="202"/>
      <c r="O3" s="184" t="s">
        <v>2</v>
      </c>
    </row>
    <row r="4" spans="1:19" s="231" customFormat="1" ht="18">
      <c r="A4" s="428"/>
      <c r="B4" s="144"/>
      <c r="C4" s="144"/>
      <c r="D4" s="421"/>
      <c r="E4" s="144"/>
      <c r="F4" s="144"/>
      <c r="G4" s="144"/>
      <c r="H4" s="144"/>
      <c r="I4" s="144"/>
      <c r="J4" s="144"/>
      <c r="K4" s="144"/>
      <c r="L4" s="144"/>
      <c r="M4" s="422"/>
      <c r="N4" s="235"/>
      <c r="O4" s="184"/>
      <c r="P4" s="232"/>
      <c r="Q4" s="236"/>
      <c r="R4" s="236"/>
      <c r="S4" s="236"/>
    </row>
    <row r="5" spans="1:19" ht="7.5" customHeight="1" thickBot="1">
      <c r="A5" s="330"/>
      <c r="B5" s="425"/>
      <c r="C5" s="424"/>
      <c r="D5" s="425"/>
      <c r="E5" s="425"/>
      <c r="F5" s="425"/>
      <c r="G5" s="426"/>
      <c r="H5" s="425"/>
      <c r="I5" s="425"/>
      <c r="J5" s="425"/>
      <c r="K5" s="425"/>
      <c r="L5" s="425"/>
      <c r="M5" s="427"/>
      <c r="N5" s="202"/>
      <c r="O5" s="184"/>
    </row>
    <row r="6" spans="1:19" ht="18" hidden="1">
      <c r="A6" s="411"/>
      <c r="B6" s="30"/>
      <c r="C6" s="30"/>
      <c r="D6" s="30"/>
      <c r="E6" s="30"/>
      <c r="F6" s="30"/>
      <c r="G6" s="30"/>
      <c r="H6" s="30"/>
      <c r="I6" s="30"/>
      <c r="J6" s="234"/>
      <c r="K6" s="30"/>
      <c r="L6" s="30"/>
      <c r="M6" s="30"/>
      <c r="N6" s="202"/>
      <c r="O6" s="184" t="s">
        <v>5</v>
      </c>
    </row>
    <row r="7" spans="1:19" hidden="1">
      <c r="A7" s="411"/>
      <c r="B7" s="48"/>
      <c r="C7" s="55"/>
      <c r="D7" s="48"/>
      <c r="E7" s="48"/>
      <c r="F7" s="48"/>
      <c r="G7" s="48"/>
      <c r="H7" s="48"/>
      <c r="I7" s="48"/>
      <c r="J7" s="305"/>
      <c r="K7" s="48"/>
      <c r="L7" s="48"/>
      <c r="M7" s="48"/>
      <c r="N7" s="202"/>
      <c r="O7" s="184" t="s">
        <v>6</v>
      </c>
    </row>
    <row r="8" spans="1:19">
      <c r="A8" s="411" t="s">
        <v>185</v>
      </c>
      <c r="B8" s="48"/>
      <c r="C8" s="48"/>
      <c r="D8" s="48"/>
      <c r="E8" s="48"/>
      <c r="F8" s="48"/>
      <c r="G8" s="48"/>
      <c r="H8" s="48"/>
      <c r="I8" s="48"/>
      <c r="J8" s="48"/>
      <c r="K8" s="48"/>
      <c r="L8" s="48"/>
      <c r="M8" s="48"/>
      <c r="N8" s="202"/>
      <c r="O8" s="184" t="s">
        <v>7</v>
      </c>
      <c r="R8" s="202"/>
    </row>
    <row r="9" spans="1:19">
      <c r="A9" s="411" t="s">
        <v>186</v>
      </c>
      <c r="B9" s="1" t="s">
        <v>73</v>
      </c>
      <c r="C9" s="307"/>
      <c r="D9" s="46"/>
      <c r="E9" s="46"/>
      <c r="F9" s="48"/>
      <c r="G9" s="48" t="s">
        <v>140</v>
      </c>
      <c r="H9" s="48"/>
      <c r="I9" s="55"/>
      <c r="J9" s="307"/>
      <c r="K9" s="46"/>
      <c r="L9" s="46"/>
      <c r="M9" s="48"/>
      <c r="N9" s="202"/>
      <c r="O9" s="184" t="s">
        <v>8</v>
      </c>
    </row>
    <row r="10" spans="1:19">
      <c r="A10" s="411" t="s">
        <v>187</v>
      </c>
      <c r="B10" s="48"/>
      <c r="C10" s="48"/>
      <c r="D10" s="48"/>
      <c r="E10" s="48"/>
      <c r="F10" s="48"/>
      <c r="G10" s="48"/>
      <c r="H10" s="48"/>
      <c r="I10" s="55"/>
      <c r="J10" s="48"/>
      <c r="K10" s="48"/>
      <c r="L10" s="48"/>
      <c r="M10" s="48"/>
      <c r="N10" s="202"/>
      <c r="O10" s="184" t="s">
        <v>9</v>
      </c>
    </row>
    <row r="11" spans="1:19">
      <c r="A11" s="411" t="s">
        <v>188</v>
      </c>
      <c r="B11" s="1" t="s">
        <v>43</v>
      </c>
      <c r="C11" s="307"/>
      <c r="D11" s="46"/>
      <c r="E11" s="46"/>
      <c r="F11" s="48"/>
      <c r="G11" s="48" t="s">
        <v>104</v>
      </c>
      <c r="H11" s="48"/>
      <c r="I11" s="2"/>
      <c r="J11" s="397"/>
      <c r="K11" s="48"/>
      <c r="L11" s="48"/>
      <c r="M11" s="48"/>
      <c r="N11" s="202"/>
      <c r="O11" s="184" t="s">
        <v>10</v>
      </c>
    </row>
    <row r="12" spans="1:19" ht="13.5" thickBot="1">
      <c r="A12" s="411" t="s">
        <v>189</v>
      </c>
      <c r="B12" s="48"/>
      <c r="C12" s="48"/>
      <c r="D12" s="48"/>
      <c r="E12" s="48"/>
      <c r="F12" s="48"/>
      <c r="G12" s="48"/>
      <c r="H12" s="48"/>
      <c r="I12" s="48"/>
      <c r="J12" s="394"/>
      <c r="K12" s="394"/>
      <c r="L12" s="394"/>
      <c r="M12" s="398"/>
      <c r="N12" s="202"/>
      <c r="O12" s="184" t="s">
        <v>11</v>
      </c>
    </row>
    <row r="13" spans="1:19">
      <c r="A13" s="411" t="s">
        <v>190</v>
      </c>
      <c r="B13" s="390" t="s">
        <v>162</v>
      </c>
      <c r="C13" s="308"/>
      <c r="D13" s="46"/>
      <c r="E13" s="46"/>
      <c r="F13" s="48"/>
      <c r="G13" s="400"/>
      <c r="H13" s="322"/>
      <c r="I13" s="322"/>
      <c r="J13" s="416"/>
      <c r="K13" s="322"/>
      <c r="L13" s="322"/>
      <c r="M13" s="323"/>
      <c r="N13" s="202"/>
      <c r="O13" s="184" t="s">
        <v>12</v>
      </c>
    </row>
    <row r="14" spans="1:19">
      <c r="A14" s="411" t="s">
        <v>191</v>
      </c>
      <c r="B14" s="48"/>
      <c r="C14" s="48"/>
      <c r="D14" s="48"/>
      <c r="E14" s="48"/>
      <c r="F14" s="48"/>
      <c r="G14" s="408"/>
      <c r="H14" s="48"/>
      <c r="I14" s="48"/>
      <c r="J14" s="308"/>
      <c r="K14" s="46"/>
      <c r="L14" s="46"/>
      <c r="M14" s="406"/>
      <c r="N14" s="202"/>
      <c r="O14" s="184" t="s">
        <v>13</v>
      </c>
    </row>
    <row r="15" spans="1:19">
      <c r="A15" s="411" t="s">
        <v>192</v>
      </c>
      <c r="B15" s="390" t="s">
        <v>734</v>
      </c>
      <c r="C15" s="229"/>
      <c r="D15" s="46"/>
      <c r="E15" s="46"/>
      <c r="F15" s="48"/>
      <c r="G15" s="408"/>
      <c r="H15" s="48"/>
      <c r="I15" s="48"/>
      <c r="J15" s="48"/>
      <c r="K15" s="48"/>
      <c r="L15" s="48"/>
      <c r="M15" s="406"/>
      <c r="N15" s="202"/>
      <c r="O15" s="186" t="s">
        <v>14</v>
      </c>
    </row>
    <row r="16" spans="1:19">
      <c r="A16" s="411" t="s">
        <v>193</v>
      </c>
      <c r="B16" s="48"/>
      <c r="C16" s="48"/>
      <c r="D16" s="48"/>
      <c r="E16" s="48"/>
      <c r="F16" s="48"/>
      <c r="G16" s="408"/>
      <c r="H16" s="48"/>
      <c r="I16" s="48"/>
      <c r="J16" s="308"/>
      <c r="K16" s="46"/>
      <c r="L16" s="46"/>
      <c r="M16" s="406"/>
      <c r="N16" s="202"/>
      <c r="O16" s="186" t="s">
        <v>16</v>
      </c>
    </row>
    <row r="17" spans="1:17">
      <c r="A17" s="411"/>
      <c r="B17" s="1" t="s">
        <v>163</v>
      </c>
      <c r="C17" s="308"/>
      <c r="D17" s="46"/>
      <c r="E17" s="46"/>
      <c r="F17" s="48"/>
      <c r="G17" s="408"/>
      <c r="H17" s="48"/>
      <c r="I17" s="48"/>
      <c r="J17" s="48"/>
      <c r="K17" s="48"/>
      <c r="L17" s="48"/>
      <c r="M17" s="417"/>
      <c r="N17" s="202"/>
      <c r="O17" s="186" t="s">
        <v>15</v>
      </c>
    </row>
    <row r="18" spans="1:17">
      <c r="A18" s="411"/>
      <c r="B18" s="48"/>
      <c r="C18" s="48"/>
      <c r="D18" s="55"/>
      <c r="E18" s="55"/>
      <c r="F18" s="55"/>
      <c r="G18" s="408"/>
      <c r="H18" s="48" t="s">
        <v>235</v>
      </c>
      <c r="I18" s="312"/>
      <c r="J18" s="46"/>
      <c r="K18" s="46"/>
      <c r="L18" s="310"/>
      <c r="M18" s="406"/>
    </row>
    <row r="19" spans="1:17" ht="13.5" thickBot="1">
      <c r="A19" s="411"/>
      <c r="B19" s="390" t="s">
        <v>164</v>
      </c>
      <c r="C19" s="308"/>
      <c r="D19" s="66"/>
      <c r="E19" s="46"/>
      <c r="F19" s="48"/>
      <c r="G19" s="418"/>
      <c r="H19" s="142"/>
      <c r="I19" s="142"/>
      <c r="J19" s="142"/>
      <c r="K19" s="142"/>
      <c r="L19" s="142"/>
      <c r="M19" s="326"/>
    </row>
    <row r="20" spans="1:17">
      <c r="A20" s="411"/>
      <c r="B20" s="48"/>
      <c r="C20" s="48"/>
      <c r="D20" s="48"/>
      <c r="E20" s="48"/>
      <c r="F20" s="48"/>
      <c r="G20" s="48"/>
      <c r="H20" s="48"/>
      <c r="I20" s="48"/>
      <c r="J20" s="48"/>
      <c r="K20" s="48"/>
      <c r="L20" s="48"/>
      <c r="M20" s="48"/>
      <c r="O20" s="202"/>
      <c r="P20" s="202"/>
      <c r="Q20" s="202"/>
    </row>
    <row r="21" spans="1:17">
      <c r="A21" s="411"/>
      <c r="B21" s="1" t="s">
        <v>165</v>
      </c>
      <c r="C21" s="46"/>
      <c r="D21" s="309"/>
      <c r="E21" s="46"/>
      <c r="F21" s="48"/>
      <c r="G21" s="48"/>
      <c r="H21" s="48"/>
      <c r="I21" s="48"/>
      <c r="J21" s="48"/>
      <c r="K21" s="22" t="s">
        <v>1</v>
      </c>
      <c r="L21" s="48"/>
      <c r="M21" s="48"/>
      <c r="O21" s="202"/>
      <c r="P21" s="202"/>
      <c r="Q21" s="202"/>
    </row>
    <row r="22" spans="1:17">
      <c r="A22" s="411"/>
      <c r="B22" s="48"/>
      <c r="C22" s="48"/>
      <c r="D22" s="48"/>
      <c r="E22" s="48"/>
      <c r="F22" s="48"/>
      <c r="G22" s="48"/>
      <c r="H22" s="48"/>
      <c r="I22" s="48"/>
      <c r="J22" s="48"/>
      <c r="K22" s="48"/>
      <c r="L22" s="48"/>
      <c r="M22" s="48"/>
      <c r="O22" s="202"/>
      <c r="P22" s="202"/>
      <c r="Q22" s="202"/>
    </row>
    <row r="23" spans="1:17">
      <c r="A23" s="411"/>
      <c r="B23" s="48" t="s">
        <v>166</v>
      </c>
      <c r="C23" s="308"/>
      <c r="D23" s="48"/>
      <c r="E23" s="46"/>
      <c r="F23" s="48" t="s">
        <v>167</v>
      </c>
      <c r="G23" s="46"/>
      <c r="H23" s="48"/>
      <c r="I23" s="46"/>
      <c r="J23" s="48" t="s">
        <v>168</v>
      </c>
      <c r="K23" s="48"/>
      <c r="L23" s="46"/>
      <c r="M23" s="48"/>
      <c r="O23" s="202"/>
      <c r="P23" s="202"/>
      <c r="Q23" s="202"/>
    </row>
    <row r="24" spans="1:17">
      <c r="A24" s="411"/>
      <c r="B24" s="48"/>
      <c r="C24" s="311"/>
      <c r="D24" s="48"/>
      <c r="E24" s="48"/>
      <c r="F24" s="48"/>
      <c r="G24" s="48"/>
      <c r="H24" s="48"/>
      <c r="I24" s="48"/>
      <c r="J24" s="48"/>
      <c r="K24" s="48"/>
      <c r="L24" s="48"/>
      <c r="M24" s="48"/>
      <c r="O24" s="202"/>
      <c r="P24" s="202"/>
      <c r="Q24" s="202"/>
    </row>
    <row r="25" spans="1:17">
      <c r="A25" s="411"/>
      <c r="B25" s="48"/>
      <c r="C25" s="48"/>
      <c r="D25" s="48"/>
      <c r="E25" s="48"/>
      <c r="F25" s="48"/>
      <c r="G25" s="48"/>
      <c r="H25" s="48"/>
      <c r="I25" s="48"/>
      <c r="J25" s="48"/>
      <c r="K25" s="48"/>
      <c r="L25" s="48"/>
      <c r="M25" s="48"/>
      <c r="O25" s="202"/>
      <c r="P25" s="202"/>
      <c r="Q25" s="202"/>
    </row>
    <row r="26" spans="1:17" ht="13.5" thickBot="1">
      <c r="A26" s="412"/>
      <c r="B26" s="142"/>
      <c r="C26" s="142"/>
      <c r="D26" s="142"/>
      <c r="E26" s="142"/>
      <c r="F26" s="142"/>
      <c r="G26" s="142"/>
      <c r="H26" s="142"/>
      <c r="I26" s="142"/>
      <c r="J26" s="313"/>
      <c r="K26" s="142"/>
      <c r="L26" s="142"/>
      <c r="M26" s="142"/>
      <c r="O26" s="202"/>
      <c r="P26" s="202"/>
      <c r="Q26" s="202"/>
    </row>
    <row r="27" spans="1:17">
      <c r="A27" s="413" t="s">
        <v>185</v>
      </c>
      <c r="B27" s="48"/>
      <c r="C27" s="48"/>
      <c r="D27" s="48"/>
      <c r="E27" s="48"/>
      <c r="F27" s="48"/>
      <c r="G27" s="48"/>
      <c r="H27" s="48"/>
      <c r="I27" s="48"/>
      <c r="J27" s="48"/>
      <c r="K27" s="48"/>
      <c r="L27" s="48"/>
      <c r="M27" s="48"/>
      <c r="O27" s="202"/>
      <c r="P27" s="202"/>
      <c r="Q27" s="202"/>
    </row>
    <row r="28" spans="1:17">
      <c r="A28" s="414" t="s">
        <v>188</v>
      </c>
      <c r="B28" s="320" t="s">
        <v>735</v>
      </c>
      <c r="C28" s="48"/>
      <c r="D28" s="48"/>
      <c r="E28" s="48"/>
      <c r="F28" s="48"/>
      <c r="G28" s="48"/>
      <c r="H28" s="396"/>
      <c r="I28" s="48"/>
      <c r="J28" s="48"/>
      <c r="K28" s="48"/>
      <c r="L28" s="48"/>
      <c r="M28" s="48"/>
      <c r="O28" s="203"/>
      <c r="P28" s="203"/>
      <c r="Q28" s="203"/>
    </row>
    <row r="29" spans="1:17">
      <c r="A29" s="414" t="s">
        <v>195</v>
      </c>
      <c r="B29" s="320"/>
      <c r="C29" s="48"/>
      <c r="D29" s="48"/>
      <c r="E29" s="48"/>
      <c r="F29" s="48"/>
      <c r="G29" s="48"/>
      <c r="H29" s="48"/>
      <c r="I29" s="48"/>
      <c r="J29" s="48"/>
      <c r="K29" s="48"/>
      <c r="L29" s="48"/>
      <c r="M29" s="48"/>
      <c r="O29" s="203"/>
      <c r="P29" s="203"/>
      <c r="Q29" s="203"/>
    </row>
    <row r="30" spans="1:17">
      <c r="A30" s="414" t="s">
        <v>197</v>
      </c>
      <c r="B30" s="320"/>
      <c r="C30" s="321"/>
      <c r="D30" s="321" t="s">
        <v>169</v>
      </c>
      <c r="E30" s="391"/>
      <c r="F30" s="321" t="s">
        <v>170</v>
      </c>
      <c r="G30" s="391"/>
      <c r="H30" s="321" t="s">
        <v>171</v>
      </c>
      <c r="I30" s="391"/>
      <c r="J30" s="321" t="s">
        <v>172</v>
      </c>
      <c r="K30" s="391"/>
      <c r="L30" s="321" t="s">
        <v>173</v>
      </c>
      <c r="M30" s="46"/>
      <c r="O30" s="203"/>
      <c r="P30" s="203"/>
      <c r="Q30" s="203"/>
    </row>
    <row r="31" spans="1:17" ht="13.5" thickBot="1">
      <c r="A31" s="415" t="s">
        <v>198</v>
      </c>
      <c r="B31" s="142"/>
      <c r="C31" s="142"/>
      <c r="D31" s="142"/>
      <c r="E31" s="142"/>
      <c r="F31" s="142"/>
      <c r="G31" s="142"/>
      <c r="H31" s="142"/>
      <c r="I31" s="142"/>
      <c r="J31" s="142"/>
      <c r="K31" s="142"/>
      <c r="L31" s="142"/>
      <c r="M31" s="142"/>
      <c r="O31" s="203"/>
      <c r="P31" s="203"/>
      <c r="Q31" s="203"/>
    </row>
    <row r="32" spans="1:17">
      <c r="A32" s="410"/>
      <c r="B32" s="400"/>
      <c r="C32" s="322"/>
      <c r="D32" s="322"/>
      <c r="E32" s="332"/>
      <c r="F32" s="332"/>
      <c r="G32" s="332"/>
      <c r="H32" s="332"/>
      <c r="I32" s="332"/>
      <c r="J32" s="332"/>
      <c r="K32" s="332"/>
      <c r="L32" s="332"/>
      <c r="M32" s="333"/>
    </row>
    <row r="33" spans="1:19">
      <c r="A33" s="399"/>
      <c r="B33" s="1044" t="s">
        <v>736</v>
      </c>
      <c r="C33" s="48"/>
      <c r="D33" s="48"/>
      <c r="E33" s="317"/>
      <c r="F33" s="317"/>
      <c r="G33" s="317"/>
      <c r="H33" s="317"/>
      <c r="I33" s="317"/>
      <c r="J33" s="317"/>
      <c r="K33" s="317"/>
      <c r="L33" s="317"/>
      <c r="M33" s="335"/>
      <c r="N33" s="315"/>
      <c r="O33" s="316"/>
      <c r="P33" s="316"/>
      <c r="Q33" s="315"/>
      <c r="R33" s="315"/>
      <c r="S33" s="315"/>
    </row>
    <row r="34" spans="1:19">
      <c r="A34" s="399"/>
      <c r="B34" s="395"/>
      <c r="C34" s="46"/>
      <c r="D34" s="46"/>
      <c r="E34" s="317"/>
      <c r="F34" s="317"/>
      <c r="G34" s="393"/>
      <c r="H34" s="317"/>
      <c r="I34" s="317"/>
      <c r="J34" s="317"/>
      <c r="K34" s="317"/>
      <c r="L34" s="317"/>
      <c r="M34" s="335"/>
    </row>
    <row r="35" spans="1:19">
      <c r="A35" s="399"/>
      <c r="B35" s="392"/>
      <c r="C35" s="46"/>
      <c r="D35" s="46"/>
      <c r="E35" s="46"/>
      <c r="F35" s="317"/>
      <c r="G35" s="46"/>
      <c r="H35" s="46"/>
      <c r="I35" s="46"/>
      <c r="J35" s="46"/>
      <c r="K35" s="46"/>
      <c r="L35" s="46"/>
      <c r="M35" s="325"/>
      <c r="N35" s="315"/>
      <c r="O35" s="316"/>
      <c r="P35" s="316"/>
      <c r="Q35" s="315"/>
      <c r="R35" s="315"/>
      <c r="S35" s="315"/>
    </row>
    <row r="36" spans="1:19">
      <c r="A36" s="399"/>
      <c r="B36" s="334"/>
      <c r="C36" s="317"/>
      <c r="D36" s="317"/>
      <c r="E36" s="317"/>
      <c r="F36" s="317"/>
      <c r="G36" s="317"/>
      <c r="H36" s="317"/>
      <c r="I36" s="317"/>
      <c r="J36" s="317"/>
      <c r="K36" s="317"/>
      <c r="L36" s="317"/>
      <c r="M36" s="335"/>
      <c r="N36" s="318"/>
      <c r="O36" s="319"/>
      <c r="P36" s="319"/>
      <c r="Q36" s="318"/>
      <c r="R36" s="318"/>
      <c r="S36" s="318"/>
    </row>
    <row r="37" spans="1:19">
      <c r="A37" s="399"/>
      <c r="B37" s="336"/>
      <c r="C37" s="317"/>
      <c r="D37" s="317"/>
      <c r="E37" s="317"/>
      <c r="F37" s="317"/>
      <c r="G37" s="317"/>
      <c r="H37" s="317"/>
      <c r="I37" s="317"/>
      <c r="J37" s="317"/>
      <c r="K37" s="317"/>
      <c r="L37" s="317"/>
      <c r="M37" s="335"/>
      <c r="N37" s="318"/>
      <c r="O37" s="319"/>
      <c r="P37" s="319"/>
      <c r="Q37" s="318"/>
      <c r="R37" s="318"/>
      <c r="S37" s="318"/>
    </row>
    <row r="38" spans="1:19" ht="13.5" thickBot="1">
      <c r="A38" s="399"/>
      <c r="B38" s="401"/>
      <c r="C38" s="142"/>
      <c r="D38" s="142"/>
      <c r="E38" s="142"/>
      <c r="F38" s="343"/>
      <c r="G38" s="142"/>
      <c r="H38" s="142"/>
      <c r="I38" s="142"/>
      <c r="J38" s="142"/>
      <c r="K38" s="142"/>
      <c r="L38" s="142"/>
      <c r="M38" s="326"/>
    </row>
    <row r="39" spans="1:19" ht="13.5" thickBot="1">
      <c r="A39" s="399"/>
      <c r="B39" s="337" t="s">
        <v>737</v>
      </c>
      <c r="C39" s="327"/>
      <c r="D39" s="327"/>
      <c r="E39" s="327"/>
      <c r="F39" s="326"/>
      <c r="G39" s="338" t="s">
        <v>174</v>
      </c>
      <c r="H39" s="327"/>
      <c r="I39" s="327"/>
      <c r="J39" s="327"/>
      <c r="K39" s="327"/>
      <c r="L39" s="327"/>
      <c r="M39" s="328"/>
    </row>
    <row r="40" spans="1:19">
      <c r="A40" s="399"/>
      <c r="B40" s="402"/>
      <c r="C40" s="332"/>
      <c r="D40" s="332"/>
      <c r="E40" s="332"/>
      <c r="F40" s="332"/>
      <c r="G40" s="331"/>
      <c r="H40" s="332"/>
      <c r="I40" s="332"/>
      <c r="J40" s="332"/>
      <c r="K40" s="332"/>
      <c r="L40" s="332"/>
      <c r="M40" s="333"/>
    </row>
    <row r="41" spans="1:19">
      <c r="A41" s="399"/>
      <c r="B41" s="324"/>
      <c r="C41" s="46"/>
      <c r="D41" s="46"/>
      <c r="E41" s="46"/>
      <c r="F41" s="46"/>
      <c r="G41" s="329"/>
      <c r="H41" s="46"/>
      <c r="I41" s="46"/>
      <c r="J41" s="46"/>
      <c r="K41" s="46"/>
      <c r="L41" s="46"/>
      <c r="M41" s="325"/>
    </row>
    <row r="42" spans="1:19">
      <c r="A42" s="399"/>
      <c r="B42" s="324"/>
      <c r="C42" s="46"/>
      <c r="D42" s="46"/>
      <c r="E42" s="46"/>
      <c r="F42" s="46"/>
      <c r="G42" s="329"/>
      <c r="H42" s="46"/>
      <c r="I42" s="46"/>
      <c r="J42" s="46"/>
      <c r="K42" s="46"/>
      <c r="L42" s="46"/>
      <c r="M42" s="325"/>
    </row>
    <row r="43" spans="1:19">
      <c r="A43" s="399"/>
      <c r="B43" s="329"/>
      <c r="C43" s="46"/>
      <c r="D43" s="46"/>
      <c r="E43" s="46"/>
      <c r="F43" s="46"/>
      <c r="G43" s="329"/>
      <c r="H43" s="46"/>
      <c r="I43" s="46"/>
      <c r="J43" s="46"/>
      <c r="K43" s="46"/>
      <c r="L43" s="46"/>
      <c r="M43" s="325"/>
      <c r="N43" s="315"/>
      <c r="O43" s="316"/>
      <c r="P43" s="316"/>
      <c r="Q43" s="315"/>
      <c r="R43" s="315"/>
      <c r="S43" s="315"/>
    </row>
    <row r="44" spans="1:19">
      <c r="A44" s="399"/>
      <c r="B44" s="334"/>
      <c r="C44" s="317"/>
      <c r="D44" s="317"/>
      <c r="E44" s="317"/>
      <c r="F44" s="317"/>
      <c r="G44" s="336"/>
      <c r="H44" s="317"/>
      <c r="I44" s="317"/>
      <c r="J44" s="317"/>
      <c r="K44" s="317"/>
      <c r="L44" s="317"/>
      <c r="M44" s="335"/>
    </row>
    <row r="45" spans="1:19">
      <c r="A45" s="399" t="s">
        <v>185</v>
      </c>
      <c r="B45" s="334"/>
      <c r="C45" s="317"/>
      <c r="D45" s="317"/>
      <c r="E45" s="317"/>
      <c r="F45" s="317"/>
      <c r="G45" s="336"/>
      <c r="H45" s="317"/>
      <c r="I45" s="317"/>
      <c r="J45" s="317"/>
      <c r="K45" s="317"/>
      <c r="L45" s="317"/>
      <c r="M45" s="335"/>
    </row>
    <row r="46" spans="1:19" ht="11.25" customHeight="1">
      <c r="A46" s="399" t="s">
        <v>186</v>
      </c>
      <c r="B46" s="341"/>
      <c r="C46" s="317"/>
      <c r="D46" s="317"/>
      <c r="E46" s="317"/>
      <c r="F46" s="317"/>
      <c r="G46" s="336"/>
      <c r="H46" s="317"/>
      <c r="I46" s="317"/>
      <c r="J46" s="317"/>
      <c r="K46" s="317"/>
      <c r="L46" s="317"/>
      <c r="M46" s="335"/>
    </row>
    <row r="47" spans="1:19">
      <c r="A47" s="399" t="s">
        <v>187</v>
      </c>
      <c r="B47" s="342"/>
      <c r="C47" s="317"/>
      <c r="D47" s="46"/>
      <c r="E47" s="46"/>
      <c r="F47" s="46"/>
      <c r="G47" s="329"/>
      <c r="H47" s="46"/>
      <c r="I47" s="46"/>
      <c r="J47" s="46"/>
      <c r="K47" s="46"/>
      <c r="L47" s="46"/>
      <c r="M47" s="325"/>
    </row>
    <row r="48" spans="1:19">
      <c r="A48" s="399" t="s">
        <v>188</v>
      </c>
      <c r="B48" s="324"/>
      <c r="C48" s="46"/>
      <c r="D48" s="46"/>
      <c r="E48" s="46"/>
      <c r="F48" s="46"/>
      <c r="G48" s="329"/>
      <c r="H48" s="46"/>
      <c r="I48" s="46"/>
      <c r="J48" s="46"/>
      <c r="K48" s="46"/>
      <c r="L48" s="46"/>
      <c r="M48" s="325"/>
    </row>
    <row r="49" spans="1:19">
      <c r="A49" s="399" t="s">
        <v>189</v>
      </c>
      <c r="B49" s="329"/>
      <c r="C49" s="46"/>
      <c r="D49" s="46"/>
      <c r="E49" s="46"/>
      <c r="F49" s="46"/>
      <c r="G49" s="329"/>
      <c r="H49" s="46"/>
      <c r="I49" s="46"/>
      <c r="J49" s="46"/>
      <c r="K49" s="46"/>
      <c r="L49" s="46"/>
      <c r="M49" s="325"/>
      <c r="N49" s="315"/>
      <c r="O49" s="316"/>
      <c r="P49" s="316"/>
      <c r="Q49" s="315"/>
      <c r="R49" s="315"/>
      <c r="S49" s="315"/>
    </row>
    <row r="50" spans="1:19">
      <c r="A50" s="399" t="s">
        <v>190</v>
      </c>
      <c r="B50" s="324"/>
      <c r="C50" s="46"/>
      <c r="D50" s="46"/>
      <c r="E50" s="46"/>
      <c r="F50" s="46"/>
      <c r="G50" s="329"/>
      <c r="H50" s="46"/>
      <c r="I50" s="46"/>
      <c r="J50" s="46"/>
      <c r="K50" s="46"/>
      <c r="L50" s="46"/>
      <c r="M50" s="325"/>
    </row>
    <row r="51" spans="1:19">
      <c r="A51" s="399" t="s">
        <v>191</v>
      </c>
      <c r="B51" s="334"/>
      <c r="C51" s="317"/>
      <c r="D51" s="317"/>
      <c r="E51" s="317"/>
      <c r="F51" s="317"/>
      <c r="G51" s="336"/>
      <c r="H51" s="317"/>
      <c r="I51" s="317"/>
      <c r="J51" s="317"/>
      <c r="K51" s="317"/>
      <c r="L51" s="317"/>
      <c r="M51" s="335"/>
    </row>
    <row r="52" spans="1:19">
      <c r="A52" s="399" t="s">
        <v>192</v>
      </c>
      <c r="B52" s="324"/>
      <c r="C52" s="46"/>
      <c r="D52" s="46"/>
      <c r="E52" s="46"/>
      <c r="F52" s="46"/>
      <c r="G52" s="329"/>
      <c r="H52" s="46"/>
      <c r="I52" s="46"/>
      <c r="J52" s="46"/>
      <c r="K52" s="46"/>
      <c r="L52" s="46"/>
      <c r="M52" s="325"/>
    </row>
    <row r="53" spans="1:19">
      <c r="A53" s="399" t="s">
        <v>193</v>
      </c>
      <c r="B53" s="324"/>
      <c r="C53" s="46"/>
      <c r="D53" s="46"/>
      <c r="E53" s="46"/>
      <c r="F53" s="46"/>
      <c r="G53" s="329"/>
      <c r="H53" s="46"/>
      <c r="I53" s="46"/>
      <c r="J53" s="46"/>
      <c r="K53" s="46"/>
      <c r="L53" s="46"/>
      <c r="M53" s="325"/>
    </row>
    <row r="54" spans="1:19" ht="13.5" thickBot="1">
      <c r="A54" s="399"/>
      <c r="B54" s="401"/>
      <c r="C54" s="142"/>
      <c r="D54" s="142"/>
      <c r="E54" s="142"/>
      <c r="F54" s="142"/>
      <c r="G54" s="330"/>
      <c r="H54" s="142"/>
      <c r="I54" s="142"/>
      <c r="J54" s="142"/>
      <c r="K54" s="142"/>
      <c r="L54" s="142"/>
      <c r="M54" s="326"/>
    </row>
    <row r="55" spans="1:19">
      <c r="A55" s="399"/>
      <c r="B55" s="339" t="s">
        <v>738</v>
      </c>
      <c r="C55" s="322"/>
      <c r="D55" s="322"/>
      <c r="E55" s="322"/>
      <c r="F55" s="322"/>
      <c r="G55" s="322"/>
      <c r="H55" s="322"/>
      <c r="I55" s="322"/>
      <c r="J55" s="322"/>
      <c r="K55" s="322"/>
      <c r="L55" s="322"/>
      <c r="M55" s="323"/>
    </row>
    <row r="56" spans="1:19">
      <c r="A56" s="399"/>
      <c r="B56" s="340" t="s">
        <v>175</v>
      </c>
      <c r="C56" s="46"/>
      <c r="D56" s="46"/>
      <c r="E56" s="46"/>
      <c r="F56" s="46"/>
      <c r="G56" s="46"/>
      <c r="H56" s="46"/>
      <c r="I56" s="46"/>
      <c r="J56" s="46"/>
      <c r="K56" s="46"/>
      <c r="L56" s="46"/>
      <c r="M56" s="325"/>
    </row>
    <row r="57" spans="1:19">
      <c r="A57" s="399"/>
      <c r="B57" s="324"/>
      <c r="C57" s="46"/>
      <c r="D57" s="46"/>
      <c r="E57" s="46"/>
      <c r="F57" s="46"/>
      <c r="G57" s="46"/>
      <c r="H57" s="46"/>
      <c r="I57" s="46"/>
      <c r="J57" s="46"/>
      <c r="K57" s="46"/>
      <c r="L57" s="46"/>
      <c r="M57" s="325"/>
    </row>
    <row r="58" spans="1:19">
      <c r="A58" s="399"/>
      <c r="B58" s="329"/>
      <c r="C58" s="46"/>
      <c r="D58" s="46"/>
      <c r="E58" s="46"/>
      <c r="F58" s="46"/>
      <c r="G58" s="46"/>
      <c r="H58" s="46"/>
      <c r="I58" s="46"/>
      <c r="J58" s="46"/>
      <c r="K58" s="46"/>
      <c r="L58" s="46"/>
      <c r="M58" s="325"/>
    </row>
    <row r="59" spans="1:19">
      <c r="A59" s="399"/>
      <c r="B59" s="334"/>
      <c r="C59" s="317"/>
      <c r="D59" s="317"/>
      <c r="E59" s="317"/>
      <c r="F59" s="317"/>
      <c r="G59" s="317"/>
      <c r="H59" s="317"/>
      <c r="I59" s="317"/>
      <c r="J59" s="317"/>
      <c r="K59" s="317"/>
      <c r="L59" s="317"/>
      <c r="M59" s="335"/>
    </row>
    <row r="60" spans="1:19">
      <c r="A60" s="399"/>
      <c r="B60" s="334"/>
      <c r="C60" s="317"/>
      <c r="D60" s="317"/>
      <c r="E60" s="317"/>
      <c r="F60" s="317"/>
      <c r="G60" s="317"/>
      <c r="H60" s="317"/>
      <c r="I60" s="317"/>
      <c r="J60" s="317"/>
      <c r="K60" s="317"/>
      <c r="L60" s="317"/>
      <c r="M60" s="335"/>
    </row>
    <row r="61" spans="1:19">
      <c r="A61" s="399"/>
      <c r="B61" s="336"/>
      <c r="C61" s="317"/>
      <c r="D61" s="317"/>
      <c r="E61" s="317"/>
      <c r="F61" s="317"/>
      <c r="G61" s="317"/>
      <c r="H61" s="317"/>
      <c r="I61" s="317"/>
      <c r="J61" s="317"/>
      <c r="K61" s="317"/>
      <c r="L61" s="317"/>
      <c r="M61" s="335"/>
    </row>
    <row r="62" spans="1:19">
      <c r="A62" s="399"/>
      <c r="B62" s="336"/>
      <c r="C62" s="317"/>
      <c r="D62" s="317"/>
      <c r="E62" s="317"/>
      <c r="F62" s="317"/>
      <c r="G62" s="317"/>
      <c r="H62" s="317"/>
      <c r="I62" s="317"/>
      <c r="J62" s="317"/>
      <c r="K62" s="317"/>
      <c r="L62" s="317"/>
      <c r="M62" s="335"/>
    </row>
    <row r="63" spans="1:19" ht="13.5" thickBot="1">
      <c r="A63" s="399"/>
      <c r="B63" s="403"/>
      <c r="C63" s="343"/>
      <c r="D63" s="142"/>
      <c r="E63" s="343"/>
      <c r="F63" s="142"/>
      <c r="G63" s="142"/>
      <c r="H63" s="142"/>
      <c r="I63" s="343"/>
      <c r="J63" s="343"/>
      <c r="K63" s="142"/>
      <c r="L63" s="142"/>
      <c r="M63" s="326"/>
    </row>
    <row r="64" spans="1:19">
      <c r="A64" s="399"/>
      <c r="B64" s="339" t="s">
        <v>739</v>
      </c>
      <c r="C64" s="322"/>
      <c r="D64" s="322"/>
      <c r="E64" s="322"/>
      <c r="F64" s="332"/>
      <c r="G64" s="332"/>
      <c r="H64" s="332"/>
      <c r="I64" s="322"/>
      <c r="J64" s="322" t="s">
        <v>176</v>
      </c>
      <c r="K64" s="332"/>
      <c r="L64" s="332"/>
      <c r="M64" s="333"/>
    </row>
    <row r="65" spans="1:13">
      <c r="A65" s="399"/>
      <c r="B65" s="324"/>
      <c r="C65" s="46"/>
      <c r="D65" s="46"/>
      <c r="E65" s="46"/>
      <c r="F65" s="46"/>
      <c r="G65" s="46"/>
      <c r="H65" s="46"/>
      <c r="I65" s="48"/>
      <c r="J65" s="48"/>
      <c r="K65" s="46"/>
      <c r="L65" s="46"/>
      <c r="M65" s="325"/>
    </row>
    <row r="66" spans="1:13">
      <c r="A66" s="399"/>
      <c r="B66" s="404" t="s">
        <v>740</v>
      </c>
      <c r="C66" s="48"/>
      <c r="D66" s="46"/>
      <c r="E66" s="46"/>
      <c r="F66" s="46"/>
      <c r="G66" s="46"/>
      <c r="H66" s="46"/>
      <c r="I66" s="48"/>
      <c r="J66" s="48" t="s">
        <v>177</v>
      </c>
      <c r="K66" s="46"/>
      <c r="L66" s="46"/>
      <c r="M66" s="325"/>
    </row>
    <row r="67" spans="1:13">
      <c r="A67" s="399"/>
      <c r="B67" s="324"/>
      <c r="C67" s="46"/>
      <c r="D67" s="46"/>
      <c r="E67" s="46"/>
      <c r="F67" s="46"/>
      <c r="G67" s="46"/>
      <c r="H67" s="46"/>
      <c r="I67" s="46"/>
      <c r="J67" s="46"/>
      <c r="K67" s="46"/>
      <c r="L67" s="46"/>
      <c r="M67" s="325"/>
    </row>
    <row r="68" spans="1:13">
      <c r="A68" s="399"/>
      <c r="B68" s="336"/>
      <c r="C68" s="317"/>
      <c r="D68" s="317"/>
      <c r="E68" s="317"/>
      <c r="F68" s="317"/>
      <c r="G68" s="317"/>
      <c r="H68" s="317"/>
      <c r="I68" s="317"/>
      <c r="J68" s="317"/>
      <c r="K68" s="317"/>
      <c r="L68" s="317"/>
      <c r="M68" s="335"/>
    </row>
    <row r="69" spans="1:13" ht="13.5" thickBot="1">
      <c r="A69" s="399"/>
      <c r="B69" s="405" t="s">
        <v>741</v>
      </c>
      <c r="C69" s="48"/>
      <c r="D69" s="48"/>
      <c r="E69" s="48"/>
      <c r="F69" s="48"/>
      <c r="G69" s="48"/>
      <c r="H69" s="48"/>
      <c r="I69" s="48"/>
      <c r="J69" s="48"/>
      <c r="K69" s="48"/>
      <c r="L69" s="48"/>
      <c r="M69" s="406"/>
    </row>
    <row r="70" spans="1:13" ht="13.5" thickBot="1">
      <c r="A70" s="399"/>
      <c r="B70" s="405" t="s">
        <v>178</v>
      </c>
      <c r="C70" s="142"/>
      <c r="D70" s="142"/>
      <c r="E70" s="142"/>
      <c r="F70" s="142"/>
      <c r="G70" s="142"/>
      <c r="H70" s="142"/>
      <c r="I70" s="142"/>
      <c r="J70" s="142"/>
      <c r="K70" s="142"/>
      <c r="L70" s="142"/>
      <c r="M70" s="326"/>
    </row>
    <row r="71" spans="1:13">
      <c r="A71" s="413"/>
      <c r="B71" s="407" t="s">
        <v>742</v>
      </c>
      <c r="C71" s="322"/>
      <c r="D71" s="322"/>
      <c r="E71" s="322" t="s">
        <v>179</v>
      </c>
      <c r="F71" s="322"/>
      <c r="G71" s="322" t="s">
        <v>743</v>
      </c>
      <c r="H71" s="322"/>
      <c r="I71" s="322"/>
      <c r="J71" s="322" t="s">
        <v>180</v>
      </c>
      <c r="K71" s="322"/>
      <c r="L71" s="322" t="s">
        <v>42</v>
      </c>
      <c r="M71" s="323"/>
    </row>
    <row r="72" spans="1:13">
      <c r="A72" s="414"/>
      <c r="B72" s="408"/>
      <c r="C72" s="48"/>
      <c r="D72" s="48"/>
      <c r="E72" s="48"/>
      <c r="F72" s="48"/>
      <c r="G72" s="48"/>
      <c r="H72" s="48"/>
      <c r="I72" s="48"/>
      <c r="J72" s="48"/>
      <c r="K72" s="48"/>
      <c r="L72" s="48"/>
      <c r="M72" s="406"/>
    </row>
    <row r="73" spans="1:13">
      <c r="A73" s="414"/>
      <c r="B73" s="408"/>
      <c r="C73" s="230"/>
      <c r="D73" s="22" t="s">
        <v>1</v>
      </c>
      <c r="E73" s="48"/>
      <c r="F73" s="48"/>
      <c r="G73" s="48"/>
      <c r="H73" s="22" t="s">
        <v>1</v>
      </c>
      <c r="I73" s="48"/>
      <c r="J73" s="48"/>
      <c r="K73" s="48"/>
      <c r="L73" s="314" t="s">
        <v>1</v>
      </c>
      <c r="M73" s="406"/>
    </row>
    <row r="74" spans="1:13">
      <c r="A74" s="414" t="s">
        <v>185</v>
      </c>
      <c r="B74" s="408" t="s">
        <v>181</v>
      </c>
      <c r="C74" s="38"/>
      <c r="D74" s="48"/>
      <c r="E74" s="48"/>
      <c r="F74" s="46"/>
      <c r="G74" s="46"/>
      <c r="H74" s="46"/>
      <c r="I74" s="46"/>
      <c r="J74" s="46"/>
      <c r="K74" s="46"/>
      <c r="L74" s="46"/>
      <c r="M74" s="325"/>
    </row>
    <row r="75" spans="1:13">
      <c r="A75" s="414" t="s">
        <v>186</v>
      </c>
      <c r="B75" s="408"/>
      <c r="C75" s="230"/>
      <c r="D75" s="22" t="s">
        <v>1</v>
      </c>
      <c r="E75" s="48"/>
      <c r="F75" s="48"/>
      <c r="G75" s="48"/>
      <c r="H75" s="48"/>
      <c r="I75" s="48"/>
      <c r="J75" s="48"/>
      <c r="K75" s="48"/>
      <c r="L75" s="48"/>
      <c r="M75" s="406"/>
    </row>
    <row r="76" spans="1:13">
      <c r="A76" s="414" t="s">
        <v>188</v>
      </c>
      <c r="B76" s="408" t="s">
        <v>744</v>
      </c>
      <c r="C76" s="38"/>
      <c r="D76" s="48"/>
      <c r="E76" s="48"/>
      <c r="F76" s="46"/>
      <c r="G76" s="46"/>
      <c r="H76" s="46"/>
      <c r="I76" s="46"/>
      <c r="J76" s="46"/>
      <c r="K76" s="46"/>
      <c r="L76" s="46"/>
      <c r="M76" s="325"/>
    </row>
    <row r="77" spans="1:13">
      <c r="A77" s="414" t="s">
        <v>196</v>
      </c>
      <c r="B77" s="408"/>
      <c r="C77" s="230"/>
      <c r="D77" s="22" t="s">
        <v>1</v>
      </c>
      <c r="E77" s="48"/>
      <c r="F77" s="48"/>
      <c r="G77" s="48"/>
      <c r="H77" s="22" t="s">
        <v>1</v>
      </c>
      <c r="I77" s="48"/>
      <c r="J77" s="48"/>
      <c r="K77" s="48"/>
      <c r="L77" s="314" t="s">
        <v>1</v>
      </c>
      <c r="M77" s="406"/>
    </row>
    <row r="78" spans="1:13">
      <c r="A78" s="414" t="s">
        <v>195</v>
      </c>
      <c r="B78" s="408" t="s">
        <v>182</v>
      </c>
      <c r="C78" s="38"/>
      <c r="D78" s="48"/>
      <c r="E78" s="48"/>
      <c r="F78" s="46"/>
      <c r="G78" s="46"/>
      <c r="H78" s="46"/>
      <c r="I78" s="46"/>
      <c r="J78" s="46"/>
      <c r="K78" s="46"/>
      <c r="L78" s="46"/>
      <c r="M78" s="325"/>
    </row>
    <row r="79" spans="1:13">
      <c r="A79" s="414" t="s">
        <v>194</v>
      </c>
      <c r="B79" s="408"/>
      <c r="C79" s="230"/>
      <c r="D79" s="22" t="s">
        <v>1</v>
      </c>
      <c r="E79" s="48"/>
      <c r="F79" s="48"/>
      <c r="G79" s="48"/>
      <c r="H79" s="48"/>
      <c r="I79" s="48"/>
      <c r="J79" s="48"/>
      <c r="K79" s="48"/>
      <c r="L79" s="48"/>
      <c r="M79" s="406"/>
    </row>
    <row r="80" spans="1:13">
      <c r="A80" s="414" t="s">
        <v>192</v>
      </c>
      <c r="B80" s="408" t="s">
        <v>183</v>
      </c>
      <c r="C80" s="38"/>
      <c r="D80" s="48"/>
      <c r="E80" s="48"/>
      <c r="F80" s="46"/>
      <c r="G80" s="46"/>
      <c r="H80" s="46"/>
      <c r="I80" s="46"/>
      <c r="J80" s="46"/>
      <c r="K80" s="46"/>
      <c r="L80" s="46"/>
      <c r="M80" s="325"/>
    </row>
    <row r="81" spans="1:13">
      <c r="A81" s="414" t="s">
        <v>188</v>
      </c>
      <c r="B81" s="408"/>
      <c r="C81" s="230"/>
      <c r="D81" s="22" t="s">
        <v>1</v>
      </c>
      <c r="E81" s="48"/>
      <c r="F81" s="48"/>
      <c r="G81" s="48"/>
      <c r="H81" s="22" t="s">
        <v>1</v>
      </c>
      <c r="I81" s="48"/>
      <c r="J81" s="48"/>
      <c r="K81" s="48"/>
      <c r="L81" s="314" t="s">
        <v>1</v>
      </c>
      <c r="M81" s="406"/>
    </row>
    <row r="82" spans="1:13">
      <c r="A82" s="414" t="s">
        <v>195</v>
      </c>
      <c r="B82" s="408" t="s">
        <v>184</v>
      </c>
      <c r="C82" s="38"/>
      <c r="D82" s="48"/>
      <c r="E82" s="48"/>
      <c r="F82" s="46"/>
      <c r="G82" s="46"/>
      <c r="H82" s="46"/>
      <c r="I82" s="46"/>
      <c r="J82" s="46"/>
      <c r="K82" s="46"/>
      <c r="L82" s="46"/>
      <c r="M82" s="325"/>
    </row>
    <row r="83" spans="1:13">
      <c r="A83" s="414" t="s">
        <v>197</v>
      </c>
      <c r="B83" s="408"/>
      <c r="C83" s="230"/>
      <c r="D83" s="22" t="s">
        <v>1</v>
      </c>
      <c r="E83" s="48"/>
      <c r="F83" s="48"/>
      <c r="G83" s="48"/>
      <c r="H83" s="48"/>
      <c r="I83" s="48"/>
      <c r="J83" s="48"/>
      <c r="K83" s="48"/>
      <c r="L83" s="48"/>
      <c r="M83" s="406"/>
    </row>
    <row r="84" spans="1:13">
      <c r="A84" s="414" t="s">
        <v>198</v>
      </c>
      <c r="B84" s="408"/>
      <c r="C84" s="38"/>
      <c r="D84" s="48"/>
      <c r="E84" s="48"/>
      <c r="F84" s="48"/>
      <c r="G84" s="48"/>
      <c r="H84" s="48"/>
      <c r="I84" s="48"/>
      <c r="J84" s="48"/>
      <c r="K84" s="48"/>
      <c r="L84" s="48"/>
      <c r="M84" s="406"/>
    </row>
    <row r="85" spans="1:13">
      <c r="A85" s="414"/>
      <c r="B85" s="408"/>
      <c r="C85" s="230"/>
      <c r="D85" s="22"/>
      <c r="E85" s="48"/>
      <c r="F85" s="48"/>
      <c r="G85" s="48"/>
      <c r="H85" s="22"/>
      <c r="I85" s="48"/>
      <c r="J85" s="48"/>
      <c r="K85" s="48"/>
      <c r="L85" s="314"/>
      <c r="M85" s="406"/>
    </row>
    <row r="86" spans="1:13" ht="13.5" thickBot="1">
      <c r="A86" s="415"/>
      <c r="B86" s="330"/>
      <c r="C86" s="409"/>
      <c r="D86" s="142"/>
      <c r="E86" s="142"/>
      <c r="F86" s="142"/>
      <c r="G86" s="142"/>
      <c r="H86" s="142"/>
      <c r="I86" s="142"/>
      <c r="J86" s="142"/>
      <c r="K86" s="142"/>
      <c r="L86" s="142"/>
      <c r="M86" s="326"/>
    </row>
    <row r="87" spans="1:13">
      <c r="A87" s="48"/>
      <c r="B87" s="48"/>
      <c r="C87" s="230"/>
      <c r="D87" s="22"/>
      <c r="E87" s="48"/>
      <c r="F87" s="48"/>
      <c r="G87" s="48"/>
      <c r="H87" s="48"/>
      <c r="I87" s="48"/>
      <c r="J87" s="48"/>
      <c r="K87" s="48"/>
      <c r="L87" s="48"/>
      <c r="M87" s="48"/>
    </row>
    <row r="88" spans="1:13">
      <c r="A88" s="48"/>
      <c r="B88" s="48"/>
      <c r="C88" s="52"/>
      <c r="D88" s="64"/>
      <c r="E88" s="48"/>
      <c r="F88" s="48"/>
      <c r="G88" s="48"/>
      <c r="H88" s="48"/>
      <c r="I88" s="48"/>
      <c r="J88" s="48"/>
      <c r="K88" s="48"/>
      <c r="L88" s="48"/>
      <c r="M88" s="48"/>
    </row>
    <row r="89" spans="1:13">
      <c r="A89" s="48"/>
      <c r="B89" s="48"/>
      <c r="C89" s="48"/>
      <c r="D89" s="48"/>
      <c r="E89" s="48"/>
      <c r="F89" s="48"/>
      <c r="G89" s="48"/>
      <c r="H89" s="48"/>
      <c r="I89" s="48"/>
      <c r="J89" s="48"/>
      <c r="K89" s="48"/>
      <c r="L89" s="48"/>
      <c r="M89" s="48"/>
    </row>
    <row r="90" spans="1:13">
      <c r="A90" s="48"/>
      <c r="B90" s="48"/>
      <c r="C90" s="48"/>
      <c r="D90" s="22"/>
      <c r="E90" s="48"/>
      <c r="F90" s="48"/>
      <c r="G90" s="48"/>
      <c r="H90" s="48"/>
      <c r="I90" s="48"/>
      <c r="J90" s="48"/>
      <c r="K90" s="48"/>
      <c r="L90" s="48"/>
      <c r="M90" s="48"/>
    </row>
    <row r="91" spans="1:13">
      <c r="A91" s="48"/>
      <c r="B91" s="48"/>
      <c r="C91" s="48"/>
      <c r="D91" s="48"/>
      <c r="E91" s="48"/>
      <c r="F91" s="48"/>
      <c r="G91" s="48"/>
      <c r="H91" s="48"/>
      <c r="I91" s="48"/>
      <c r="J91" s="48"/>
      <c r="K91" s="48"/>
      <c r="L91" s="48"/>
      <c r="M91" s="48"/>
    </row>
    <row r="92" spans="1:13">
      <c r="A92" s="48"/>
      <c r="B92" s="48"/>
      <c r="C92" s="48"/>
      <c r="D92" s="48"/>
      <c r="E92" s="48"/>
      <c r="F92" s="48"/>
      <c r="G92" s="48"/>
      <c r="H92" s="48"/>
      <c r="I92" s="48"/>
      <c r="J92" s="48"/>
      <c r="K92" s="48"/>
      <c r="L92" s="48"/>
      <c r="M92" s="48"/>
    </row>
    <row r="93" spans="1:13">
      <c r="A93" s="48"/>
      <c r="B93" s="48"/>
      <c r="C93" s="230"/>
      <c r="D93" s="22"/>
      <c r="E93" s="48"/>
      <c r="F93" s="48"/>
      <c r="G93" s="48"/>
      <c r="H93" s="48"/>
      <c r="I93" s="48"/>
      <c r="J93" s="48"/>
      <c r="K93" s="48"/>
      <c r="L93" s="48"/>
      <c r="M93" s="48"/>
    </row>
    <row r="94" spans="1:13">
      <c r="A94" s="48"/>
      <c r="B94" s="48"/>
      <c r="C94" s="48"/>
      <c r="D94" s="48"/>
      <c r="E94" s="48"/>
      <c r="F94" s="48"/>
      <c r="G94" s="48"/>
      <c r="H94" s="48"/>
      <c r="I94" s="48"/>
      <c r="J94" s="48"/>
      <c r="K94" s="48"/>
      <c r="L94" s="48"/>
      <c r="M94" s="48"/>
    </row>
    <row r="95" spans="1:13">
      <c r="A95" s="48"/>
      <c r="B95" s="48"/>
      <c r="C95" s="48"/>
      <c r="D95" s="48"/>
      <c r="E95" s="48"/>
      <c r="F95" s="48"/>
      <c r="G95" s="48"/>
      <c r="H95" s="48"/>
      <c r="I95" s="48"/>
      <c r="J95" s="48"/>
      <c r="K95" s="48"/>
      <c r="L95" s="48"/>
      <c r="M95" s="48"/>
    </row>
    <row r="96" spans="1:13" ht="15.75">
      <c r="A96" s="48"/>
      <c r="B96" s="237"/>
      <c r="C96" s="48"/>
      <c r="D96" s="48"/>
      <c r="E96" s="48"/>
      <c r="F96" s="48"/>
      <c r="G96" s="48"/>
      <c r="H96" s="48"/>
      <c r="I96" s="48"/>
      <c r="J96" s="48"/>
      <c r="K96" s="48"/>
      <c r="L96" s="48"/>
      <c r="M96" s="48"/>
    </row>
    <row r="97" spans="1:13">
      <c r="A97" s="48"/>
      <c r="B97" s="48"/>
      <c r="C97" s="48"/>
      <c r="D97" s="48"/>
      <c r="E97" s="48"/>
      <c r="F97" s="48"/>
      <c r="G97" s="48"/>
      <c r="H97" s="48"/>
      <c r="I97" s="48"/>
      <c r="J97" s="48"/>
      <c r="K97" s="48"/>
      <c r="L97" s="48"/>
      <c r="M97" s="48"/>
    </row>
    <row r="98" spans="1:13">
      <c r="A98" s="48"/>
      <c r="B98" s="48"/>
      <c r="C98" s="230"/>
      <c r="D98" s="22"/>
      <c r="E98" s="48"/>
      <c r="F98" s="48"/>
      <c r="G98" s="48"/>
      <c r="H98" s="22"/>
      <c r="I98" s="48"/>
      <c r="J98" s="48"/>
      <c r="K98" s="48"/>
      <c r="L98" s="314"/>
      <c r="M98" s="48"/>
    </row>
    <row r="99" spans="1:13" ht="5.0999999999999996" customHeight="1">
      <c r="A99" s="48"/>
      <c r="B99" s="48"/>
      <c r="C99" s="38"/>
      <c r="D99" s="48"/>
      <c r="E99" s="48"/>
      <c r="F99" s="48"/>
      <c r="G99" s="48"/>
      <c r="H99" s="48"/>
      <c r="I99" s="48"/>
      <c r="J99" s="48"/>
      <c r="K99" s="48"/>
      <c r="L99" s="48"/>
      <c r="M99" s="48"/>
    </row>
    <row r="100" spans="1:13">
      <c r="A100" s="48"/>
      <c r="B100" s="55"/>
      <c r="C100" s="230"/>
      <c r="D100" s="22"/>
      <c r="E100" s="48"/>
      <c r="F100" s="48"/>
      <c r="G100" s="48"/>
      <c r="H100" s="48"/>
      <c r="I100" s="48"/>
      <c r="J100" s="48"/>
      <c r="K100" s="48"/>
      <c r="L100" s="48"/>
      <c r="M100" s="48"/>
    </row>
    <row r="101" spans="1:13">
      <c r="A101" s="48"/>
      <c r="B101" s="48"/>
      <c r="C101" s="38"/>
      <c r="D101" s="48"/>
      <c r="E101" s="48"/>
      <c r="F101" s="48"/>
      <c r="G101" s="48"/>
      <c r="H101" s="48"/>
      <c r="I101" s="48"/>
      <c r="J101" s="48"/>
      <c r="K101" s="48"/>
      <c r="L101" s="48"/>
      <c r="M101" s="48"/>
    </row>
    <row r="102" spans="1:13">
      <c r="A102" s="48"/>
      <c r="B102" s="48"/>
      <c r="C102" s="230"/>
      <c r="D102" s="22"/>
      <c r="E102" s="48"/>
      <c r="F102" s="48"/>
      <c r="G102" s="48"/>
      <c r="H102" s="22"/>
      <c r="I102" s="48"/>
      <c r="J102" s="48"/>
      <c r="K102" s="48"/>
      <c r="L102" s="314"/>
      <c r="M102" s="48"/>
    </row>
    <row r="103" spans="1:13" ht="5.0999999999999996" customHeight="1">
      <c r="A103" s="48"/>
      <c r="B103" s="48"/>
      <c r="C103" s="38"/>
      <c r="D103" s="48"/>
      <c r="E103" s="48"/>
      <c r="F103" s="48"/>
      <c r="G103" s="48"/>
      <c r="H103" s="48"/>
      <c r="I103" s="48"/>
      <c r="J103" s="48"/>
      <c r="K103" s="48"/>
      <c r="L103" s="48"/>
      <c r="M103" s="48"/>
    </row>
    <row r="104" spans="1:13">
      <c r="A104" s="48"/>
      <c r="B104" s="48"/>
      <c r="C104" s="230"/>
      <c r="D104" s="22"/>
      <c r="E104" s="48"/>
      <c r="F104" s="48"/>
      <c r="G104" s="48"/>
      <c r="H104" s="48"/>
      <c r="I104" s="48"/>
      <c r="J104" s="48"/>
      <c r="K104" s="48"/>
      <c r="L104" s="48"/>
      <c r="M104" s="48"/>
    </row>
    <row r="105" spans="1:13">
      <c r="A105" s="48"/>
      <c r="B105" s="48"/>
      <c r="C105" s="38"/>
      <c r="D105" s="48"/>
      <c r="E105" s="48"/>
      <c r="F105" s="48"/>
      <c r="G105" s="48"/>
      <c r="H105" s="48"/>
      <c r="I105" s="48"/>
      <c r="J105" s="48"/>
      <c r="K105" s="48"/>
      <c r="L105" s="48"/>
      <c r="M105" s="48"/>
    </row>
    <row r="106" spans="1:13">
      <c r="A106" s="48"/>
      <c r="B106" s="48"/>
      <c r="C106" s="230"/>
      <c r="D106" s="22"/>
      <c r="E106" s="48"/>
      <c r="F106" s="48"/>
      <c r="G106" s="48"/>
      <c r="H106" s="22"/>
      <c r="I106" s="48"/>
      <c r="J106" s="48"/>
      <c r="K106" s="48"/>
      <c r="L106" s="314"/>
      <c r="M106" s="48"/>
    </row>
    <row r="107" spans="1:13" ht="5.0999999999999996" customHeight="1">
      <c r="A107" s="48"/>
      <c r="B107" s="48"/>
      <c r="C107" s="38"/>
      <c r="D107" s="48"/>
      <c r="E107" s="48"/>
      <c r="F107" s="48"/>
      <c r="G107" s="48"/>
      <c r="H107" s="48"/>
      <c r="I107" s="48"/>
      <c r="J107" s="48"/>
      <c r="K107" s="48"/>
      <c r="L107" s="48"/>
      <c r="M107" s="48"/>
    </row>
    <row r="108" spans="1:13">
      <c r="A108" s="48"/>
      <c r="B108" s="48"/>
      <c r="C108" s="230"/>
      <c r="D108" s="22"/>
      <c r="E108" s="48"/>
      <c r="F108" s="48"/>
      <c r="G108" s="48"/>
      <c r="H108" s="48"/>
      <c r="I108" s="48"/>
      <c r="J108" s="48"/>
      <c r="K108" s="48"/>
      <c r="L108" s="48"/>
      <c r="M108" s="48"/>
    </row>
    <row r="109" spans="1:13">
      <c r="A109" s="48"/>
      <c r="B109" s="48"/>
      <c r="C109" s="38"/>
      <c r="D109" s="48"/>
      <c r="E109" s="48"/>
      <c r="F109" s="48"/>
      <c r="G109" s="48"/>
      <c r="H109" s="48"/>
      <c r="I109" s="48"/>
      <c r="J109" s="48"/>
      <c r="K109" s="48"/>
      <c r="L109" s="48"/>
      <c r="M109" s="48"/>
    </row>
    <row r="110" spans="1:13">
      <c r="A110" s="48"/>
      <c r="B110" s="48"/>
      <c r="C110" s="230"/>
      <c r="D110" s="22"/>
      <c r="E110" s="48"/>
      <c r="F110" s="48"/>
      <c r="G110" s="48"/>
      <c r="H110" s="22"/>
      <c r="I110" s="48"/>
      <c r="J110" s="48"/>
      <c r="K110" s="48"/>
      <c r="L110" s="314"/>
      <c r="M110" s="48"/>
    </row>
    <row r="111" spans="1:13" ht="5.0999999999999996" customHeight="1">
      <c r="A111" s="48"/>
      <c r="B111" s="48"/>
      <c r="C111" s="38"/>
      <c r="D111" s="48"/>
      <c r="E111" s="48"/>
      <c r="F111" s="48"/>
      <c r="G111" s="48"/>
      <c r="H111" s="48"/>
      <c r="I111" s="48"/>
      <c r="J111" s="48"/>
      <c r="K111" s="48"/>
      <c r="L111" s="48"/>
      <c r="M111" s="48"/>
    </row>
    <row r="112" spans="1:13">
      <c r="A112" s="48"/>
      <c r="B112" s="48"/>
      <c r="C112" s="230"/>
      <c r="D112" s="22"/>
      <c r="E112" s="48"/>
      <c r="F112" s="48"/>
      <c r="G112" s="48"/>
      <c r="H112" s="48"/>
      <c r="I112" s="48"/>
      <c r="J112" s="48"/>
      <c r="K112" s="48"/>
      <c r="L112" s="48"/>
      <c r="M112" s="48"/>
    </row>
    <row r="113" spans="1:13">
      <c r="A113" s="48"/>
      <c r="B113" s="48"/>
      <c r="C113" s="52"/>
      <c r="D113" s="64"/>
      <c r="E113" s="48"/>
      <c r="F113" s="48"/>
      <c r="G113" s="48"/>
      <c r="H113" s="48"/>
      <c r="I113" s="48"/>
      <c r="J113" s="48"/>
      <c r="K113" s="48"/>
      <c r="L113" s="48"/>
      <c r="M113" s="48"/>
    </row>
    <row r="114" spans="1:13">
      <c r="A114" s="48"/>
      <c r="B114" s="48"/>
      <c r="C114" s="48"/>
      <c r="D114" s="48"/>
      <c r="E114" s="48"/>
      <c r="F114" s="48"/>
      <c r="G114" s="48"/>
      <c r="H114" s="48"/>
      <c r="I114" s="48"/>
      <c r="J114" s="48"/>
      <c r="K114" s="48"/>
      <c r="L114" s="48"/>
      <c r="M114" s="48"/>
    </row>
    <row r="115" spans="1:13">
      <c r="A115" s="48"/>
      <c r="B115" s="48"/>
      <c r="C115" s="48"/>
      <c r="D115" s="22"/>
      <c r="E115" s="48"/>
      <c r="F115" s="48"/>
      <c r="G115" s="48"/>
      <c r="H115" s="48"/>
      <c r="I115" s="48"/>
      <c r="J115" s="48"/>
      <c r="K115" s="48"/>
      <c r="L115" s="48"/>
      <c r="M115" s="48"/>
    </row>
    <row r="116" spans="1:13">
      <c r="A116" s="48"/>
      <c r="B116" s="48"/>
      <c r="C116" s="48"/>
      <c r="D116" s="48"/>
      <c r="E116" s="48"/>
      <c r="F116" s="48"/>
      <c r="G116" s="48"/>
      <c r="H116" s="48"/>
      <c r="I116" s="48"/>
      <c r="J116" s="48"/>
      <c r="K116" s="48"/>
      <c r="L116" s="48"/>
      <c r="M116" s="48"/>
    </row>
    <row r="117" spans="1:13">
      <c r="A117" s="48"/>
      <c r="B117" s="48"/>
      <c r="C117" s="48"/>
      <c r="D117" s="48"/>
      <c r="E117" s="48"/>
      <c r="F117" s="48"/>
      <c r="G117" s="48"/>
      <c r="H117" s="48"/>
      <c r="I117" s="48"/>
      <c r="J117" s="48"/>
      <c r="K117" s="48"/>
      <c r="L117" s="48"/>
      <c r="M117" s="48"/>
    </row>
  </sheetData>
  <phoneticPr fontId="16" type="noConversion"/>
  <printOptions horizontalCentered="1" verticalCentered="1"/>
  <pageMargins left="0.23622047244094491" right="0.23622047244094491" top="0.31496062992125984" bottom="0.31496062992125984" header="0.31496062992125984" footer="0.23622047244094491"/>
  <pageSetup scale="66" fitToHeight="2" orientation="portrait" r:id="rId1"/>
  <headerFooter alignWithMargins="0"/>
  <customProperties>
    <customPr name="Ibp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customProperties>
    <customPr name="IbpWorksheetKeyString_GUID" r:id="rId1"/>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6"/>
  <sheetViews>
    <sheetView showGridLines="0" workbookViewId="0">
      <pane ySplit="14" topLeftCell="A27" activePane="bottomLeft" state="frozen"/>
      <selection pane="bottomLeft" activeCell="G12" sqref="G12"/>
    </sheetView>
  </sheetViews>
  <sheetFormatPr defaultRowHeight="12.75"/>
  <cols>
    <col min="1" max="1" width="5.5703125" style="133" customWidth="1"/>
    <col min="2" max="4" width="6.28515625" style="134" customWidth="1"/>
    <col min="5" max="5" width="5.7109375" style="134" customWidth="1"/>
    <col min="6" max="6" width="39.28515625" style="134" customWidth="1"/>
    <col min="7" max="7" width="5.7109375" style="134" customWidth="1"/>
    <col min="8" max="8" width="10.7109375" style="170" customWidth="1"/>
    <col min="9" max="9" width="14.7109375" style="170" customWidth="1"/>
    <col min="10" max="10" width="5.7109375" style="133" customWidth="1"/>
    <col min="11" max="11" width="24.7109375" style="134" customWidth="1"/>
    <col min="12" max="12" width="0" style="141" hidden="1" customWidth="1"/>
    <col min="13" max="16384" width="9.140625" style="254"/>
  </cols>
  <sheetData>
    <row r="1" spans="1:12" s="58" customFormat="1">
      <c r="A1"/>
      <c r="B1"/>
      <c r="C1" s="122"/>
      <c r="D1" s="122"/>
      <c r="E1" s="122"/>
      <c r="F1" s="123"/>
      <c r="G1" s="143"/>
      <c r="H1" s="124"/>
      <c r="I1" s="124"/>
      <c r="J1" s="122"/>
      <c r="K1" s="122"/>
      <c r="L1" s="200"/>
    </row>
    <row r="2" spans="1:12" s="59" customFormat="1" ht="21" customHeight="1">
      <c r="A2"/>
      <c r="B2"/>
      <c r="C2" s="122"/>
      <c r="D2" s="122"/>
      <c r="E2" s="122"/>
      <c r="F2" s="122"/>
      <c r="G2" s="122"/>
      <c r="H2" s="122"/>
      <c r="I2" s="122"/>
      <c r="J2" s="122"/>
      <c r="K2" s="122"/>
      <c r="L2" s="200"/>
    </row>
    <row r="3" spans="1:12" s="60" customFormat="1" ht="11.25">
      <c r="A3" s="122"/>
      <c r="B3" s="122"/>
      <c r="C3" s="122"/>
      <c r="D3" s="122"/>
      <c r="E3" s="122"/>
      <c r="F3" s="122"/>
      <c r="G3" s="122"/>
      <c r="H3" s="122"/>
      <c r="I3" s="122"/>
      <c r="J3" s="122"/>
      <c r="K3" s="230"/>
      <c r="L3" s="184" t="s">
        <v>5</v>
      </c>
    </row>
    <row r="4" spans="1:12" s="61" customFormat="1" ht="11.25">
      <c r="A4" s="346" t="s">
        <v>83</v>
      </c>
      <c r="B4" s="347"/>
      <c r="C4" s="347"/>
      <c r="D4" s="347"/>
      <c r="E4" s="347"/>
      <c r="F4" s="348"/>
      <c r="G4" s="346" t="s">
        <v>85</v>
      </c>
      <c r="H4" s="347"/>
      <c r="I4" s="348"/>
      <c r="J4" s="346" t="s">
        <v>87</v>
      </c>
      <c r="K4" s="348"/>
      <c r="L4" s="187"/>
    </row>
    <row r="5" spans="1:12" s="58" customFormat="1">
      <c r="A5" s="253" t="s">
        <v>1</v>
      </c>
      <c r="B5" s="125"/>
      <c r="C5" s="125"/>
      <c r="D5" s="125"/>
      <c r="E5" s="125"/>
      <c r="F5" s="126"/>
      <c r="G5" s="269" t="s">
        <v>1</v>
      </c>
      <c r="H5" s="199"/>
      <c r="I5" s="127"/>
      <c r="J5" s="253" t="s">
        <v>1</v>
      </c>
      <c r="K5" s="126"/>
      <c r="L5" s="141"/>
    </row>
    <row r="6" spans="1:12" s="61" customFormat="1" ht="11.25">
      <c r="A6" s="346" t="s">
        <v>254</v>
      </c>
      <c r="B6" s="347"/>
      <c r="C6" s="227"/>
      <c r="D6" s="347"/>
      <c r="E6" s="347"/>
      <c r="F6" s="348"/>
      <c r="G6" s="346" t="s">
        <v>86</v>
      </c>
      <c r="H6" s="347"/>
      <c r="I6" s="348"/>
      <c r="J6" s="346" t="s">
        <v>35</v>
      </c>
      <c r="K6" s="348"/>
      <c r="L6" s="187"/>
    </row>
    <row r="7" spans="1:12" s="58" customFormat="1">
      <c r="A7" s="349"/>
      <c r="B7" s="125"/>
      <c r="C7" s="125"/>
      <c r="D7" s="125"/>
      <c r="E7" s="125"/>
      <c r="F7" s="126"/>
      <c r="G7" s="269" t="s">
        <v>1</v>
      </c>
      <c r="H7" s="251"/>
      <c r="I7" s="350" t="s">
        <v>1</v>
      </c>
      <c r="J7" s="253" t="s">
        <v>1</v>
      </c>
      <c r="K7" s="126"/>
      <c r="L7" s="141"/>
    </row>
    <row r="8" spans="1:12" s="61" customFormat="1" ht="11.25">
      <c r="A8" s="346" t="s">
        <v>253</v>
      </c>
      <c r="B8" s="347"/>
      <c r="C8" s="227"/>
      <c r="D8" s="347"/>
      <c r="E8" s="347"/>
      <c r="F8" s="348"/>
      <c r="G8" s="346" t="s">
        <v>78</v>
      </c>
      <c r="H8" s="347"/>
      <c r="I8" s="348"/>
      <c r="J8" s="346" t="s">
        <v>36</v>
      </c>
      <c r="K8" s="348"/>
      <c r="L8" s="187"/>
    </row>
    <row r="9" spans="1:12" s="58" customFormat="1">
      <c r="A9" s="349"/>
      <c r="B9" s="125"/>
      <c r="C9" s="125"/>
      <c r="D9" s="125"/>
      <c r="E9" s="125"/>
      <c r="F9" s="126"/>
      <c r="G9" s="128"/>
      <c r="H9" s="125"/>
      <c r="I9" s="126"/>
      <c r="J9" s="253" t="s">
        <v>1</v>
      </c>
      <c r="K9" s="126"/>
      <c r="L9" s="141"/>
    </row>
    <row r="10" spans="1:12" s="61" customFormat="1" ht="11.25">
      <c r="A10" s="346" t="s">
        <v>84</v>
      </c>
      <c r="B10" s="347"/>
      <c r="C10" s="347"/>
      <c r="D10" s="347"/>
      <c r="E10" s="347"/>
      <c r="F10" s="347"/>
      <c r="G10" s="347"/>
      <c r="H10" s="122"/>
      <c r="I10" s="122"/>
      <c r="J10" s="347"/>
      <c r="K10" s="348"/>
      <c r="L10" s="187"/>
    </row>
    <row r="11" spans="1:12" s="62" customFormat="1" ht="9.9499999999999993" customHeight="1">
      <c r="A11" s="252"/>
      <c r="B11" s="122"/>
      <c r="C11" s="122"/>
      <c r="D11" s="122"/>
      <c r="E11" s="122"/>
      <c r="F11" s="122"/>
      <c r="G11" s="122"/>
      <c r="H11" s="122"/>
      <c r="I11" s="122"/>
      <c r="J11" s="122"/>
      <c r="K11" s="129"/>
      <c r="L11" s="141"/>
    </row>
    <row r="12" spans="1:12" s="62" customFormat="1" ht="9.9499999999999993" customHeight="1">
      <c r="A12" s="252"/>
      <c r="B12" s="122"/>
      <c r="C12" s="122"/>
      <c r="D12" s="122"/>
      <c r="E12" s="122"/>
      <c r="F12" s="122"/>
      <c r="G12" s="122"/>
      <c r="H12" s="122"/>
      <c r="I12" s="122"/>
      <c r="J12" s="122"/>
      <c r="K12" s="129"/>
      <c r="L12" s="141"/>
    </row>
    <row r="13" spans="1:12" s="58" customFormat="1" ht="9.9499999999999993" customHeight="1">
      <c r="A13" s="253"/>
      <c r="B13" s="125"/>
      <c r="C13" s="125"/>
      <c r="D13" s="125"/>
      <c r="E13" s="125"/>
      <c r="F13" s="125"/>
      <c r="G13" s="125"/>
      <c r="H13" s="125"/>
      <c r="I13" s="125"/>
      <c r="J13" s="125"/>
      <c r="K13" s="126"/>
      <c r="L13" s="141"/>
    </row>
    <row r="14" spans="1:12" s="63" customFormat="1" ht="25.5" customHeight="1">
      <c r="A14" s="131" t="s">
        <v>88</v>
      </c>
      <c r="B14" s="131" t="s">
        <v>89</v>
      </c>
      <c r="C14" s="131" t="s">
        <v>90</v>
      </c>
      <c r="D14" s="131" t="s">
        <v>91</v>
      </c>
      <c r="E14" s="131" t="s">
        <v>92</v>
      </c>
      <c r="F14" s="131" t="s">
        <v>93</v>
      </c>
      <c r="G14" s="131" t="s">
        <v>94</v>
      </c>
      <c r="H14" s="169" t="s">
        <v>95</v>
      </c>
      <c r="I14" s="169"/>
      <c r="J14" s="131" t="s">
        <v>96</v>
      </c>
      <c r="K14" s="131" t="s">
        <v>97</v>
      </c>
      <c r="L14" s="187"/>
    </row>
    <row r="15" spans="1:12" s="51" customFormat="1">
      <c r="A15" s="132"/>
      <c r="B15" s="132"/>
      <c r="C15" s="132"/>
      <c r="D15" s="132"/>
      <c r="E15" s="132"/>
      <c r="F15" s="133"/>
      <c r="G15" s="133"/>
      <c r="H15" s="170"/>
      <c r="I15" s="170"/>
      <c r="J15" s="133"/>
      <c r="K15" s="133"/>
      <c r="L15" s="141"/>
    </row>
    <row r="36" spans="1:1">
      <c r="A36" s="133" t="s">
        <v>22</v>
      </c>
    </row>
  </sheetData>
  <phoneticPr fontId="16" type="noConversion"/>
  <pageMargins left="0.5" right="0.25" top="0.4" bottom="0.6" header="1.75" footer="0.25"/>
  <pageSetup orientation="landscape" useFirstPageNumber="1" horizontalDpi="4294967292" r:id="rId1"/>
  <headerFooter alignWithMargins="0">
    <oddHeader xml:space="preserve">&amp;C                                           &amp;P of &amp;N </oddHeader>
    <oddFooter>&amp;C&amp;8Filename: &amp;F / &amp;A
&amp;R&amp;8NAOP 4.5-1 F-PFD
8/1/98</oddFooter>
  </headerFooter>
  <customProperties>
    <customPr name="IbpWorksheetKeyString_GUID" r:id="rId2"/>
  </customProperti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40"/>
  <sheetViews>
    <sheetView zoomScaleNormal="100" workbookViewId="0">
      <selection activeCell="I17" sqref="I17"/>
    </sheetView>
  </sheetViews>
  <sheetFormatPr defaultRowHeight="12.75"/>
  <cols>
    <col min="1" max="1" width="5.5703125" customWidth="1"/>
    <col min="2" max="2" width="37.5703125" customWidth="1"/>
    <col min="3" max="3" width="31.7109375" customWidth="1"/>
    <col min="4" max="4" width="9.28515625" customWidth="1"/>
    <col min="5" max="5" width="8.42578125" customWidth="1"/>
  </cols>
  <sheetData>
    <row r="5" spans="1:5">
      <c r="A5" s="535" t="s">
        <v>98</v>
      </c>
      <c r="B5" s="536"/>
      <c r="C5" s="535" t="s">
        <v>254</v>
      </c>
      <c r="D5" s="527"/>
      <c r="E5" s="526"/>
    </row>
    <row r="6" spans="1:5">
      <c r="A6" s="530"/>
      <c r="B6" s="531"/>
      <c r="C6" s="532"/>
      <c r="D6" s="533"/>
      <c r="E6" s="534"/>
    </row>
    <row r="7" spans="1:5">
      <c r="A7" s="535" t="s">
        <v>283</v>
      </c>
      <c r="B7" s="536"/>
      <c r="C7" s="535" t="s">
        <v>256</v>
      </c>
      <c r="D7" s="537"/>
      <c r="E7" s="538"/>
    </row>
    <row r="8" spans="1:5">
      <c r="A8" s="530"/>
      <c r="B8" s="531"/>
      <c r="C8" s="539"/>
      <c r="D8" s="540"/>
      <c r="E8" s="541"/>
    </row>
    <row r="9" spans="1:5">
      <c r="A9" s="542"/>
      <c r="B9" s="542"/>
      <c r="C9" s="542"/>
      <c r="D9" s="542"/>
      <c r="E9" s="542"/>
    </row>
    <row r="10" spans="1:5" ht="26.25" customHeight="1">
      <c r="A10" s="1039" t="s">
        <v>281</v>
      </c>
      <c r="B10" s="1040" t="s">
        <v>282</v>
      </c>
      <c r="C10" s="1041"/>
      <c r="D10" s="1043" t="s">
        <v>730</v>
      </c>
      <c r="E10" s="1042" t="s">
        <v>729</v>
      </c>
    </row>
    <row r="11" spans="1:5">
      <c r="A11" s="547">
        <v>1</v>
      </c>
      <c r="B11" s="543" t="s">
        <v>259</v>
      </c>
      <c r="C11" s="544"/>
      <c r="D11" s="545"/>
      <c r="E11" s="546"/>
    </row>
    <row r="12" spans="1:5">
      <c r="A12" s="547">
        <v>2</v>
      </c>
      <c r="B12" s="543" t="s">
        <v>260</v>
      </c>
      <c r="C12" s="544"/>
      <c r="D12" s="545"/>
      <c r="E12" s="546"/>
    </row>
    <row r="13" spans="1:5">
      <c r="A13" s="547">
        <v>3</v>
      </c>
      <c r="B13" s="543" t="s">
        <v>261</v>
      </c>
      <c r="C13" s="544"/>
      <c r="D13" s="545"/>
      <c r="E13" s="546"/>
    </row>
    <row r="14" spans="1:5">
      <c r="A14" s="547">
        <v>4</v>
      </c>
      <c r="B14" s="543" t="s">
        <v>262</v>
      </c>
      <c r="C14" s="544"/>
      <c r="D14" s="545"/>
      <c r="E14" s="546"/>
    </row>
    <row r="15" spans="1:5">
      <c r="A15" s="547">
        <v>5</v>
      </c>
      <c r="B15" s="543" t="s">
        <v>263</v>
      </c>
      <c r="C15" s="544"/>
      <c r="D15" s="545"/>
      <c r="E15" s="546"/>
    </row>
    <row r="16" spans="1:5">
      <c r="A16" s="547">
        <v>6</v>
      </c>
      <c r="B16" s="543" t="s">
        <v>264</v>
      </c>
      <c r="C16" s="544"/>
      <c r="D16" s="545"/>
      <c r="E16" s="546"/>
    </row>
    <row r="17" spans="1:5">
      <c r="A17" s="547">
        <v>7</v>
      </c>
      <c r="B17" s="543" t="s">
        <v>265</v>
      </c>
      <c r="C17" s="544"/>
      <c r="D17" s="545"/>
      <c r="E17" s="546"/>
    </row>
    <row r="18" spans="1:5">
      <c r="A18" s="547">
        <v>8</v>
      </c>
      <c r="B18" s="543" t="s">
        <v>266</v>
      </c>
      <c r="C18" s="544"/>
      <c r="D18" s="545"/>
      <c r="E18" s="546"/>
    </row>
    <row r="19" spans="1:5">
      <c r="A19" s="547">
        <v>9</v>
      </c>
      <c r="B19" s="543" t="s">
        <v>267</v>
      </c>
      <c r="C19" s="544"/>
      <c r="D19" s="545"/>
      <c r="E19" s="546"/>
    </row>
    <row r="20" spans="1:5">
      <c r="A20" s="547">
        <v>10</v>
      </c>
      <c r="B20" s="543" t="s">
        <v>268</v>
      </c>
      <c r="C20" s="544"/>
      <c r="D20" s="545"/>
      <c r="E20" s="546"/>
    </row>
    <row r="21" spans="1:5" ht="14.25" customHeight="1">
      <c r="A21" s="547">
        <v>11</v>
      </c>
      <c r="B21" s="543" t="s">
        <v>269</v>
      </c>
      <c r="C21" s="544"/>
      <c r="D21" s="545"/>
      <c r="E21" s="546"/>
    </row>
    <row r="22" spans="1:5">
      <c r="A22" s="547">
        <v>12</v>
      </c>
      <c r="B22" s="543" t="s">
        <v>270</v>
      </c>
      <c r="C22" s="544"/>
      <c r="D22" s="545"/>
      <c r="E22" s="546"/>
    </row>
    <row r="23" spans="1:5">
      <c r="A23" s="547">
        <v>13</v>
      </c>
      <c r="B23" s="543" t="s">
        <v>271</v>
      </c>
      <c r="C23" s="544"/>
      <c r="D23" s="545"/>
      <c r="E23" s="546"/>
    </row>
    <row r="24" spans="1:5">
      <c r="A24" s="547">
        <v>14</v>
      </c>
      <c r="B24" s="543" t="s">
        <v>272</v>
      </c>
      <c r="C24" s="544"/>
      <c r="D24" s="545"/>
      <c r="E24" s="546"/>
    </row>
    <row r="25" spans="1:5">
      <c r="A25" s="547">
        <v>15</v>
      </c>
      <c r="B25" s="543" t="s">
        <v>273</v>
      </c>
      <c r="C25" s="544"/>
      <c r="D25" s="545"/>
      <c r="E25" s="546"/>
    </row>
    <row r="26" spans="1:5">
      <c r="A26" s="547">
        <v>16</v>
      </c>
      <c r="B26" s="543" t="s">
        <v>274</v>
      </c>
      <c r="C26" s="544"/>
      <c r="D26" s="545"/>
      <c r="E26" s="546"/>
    </row>
    <row r="27" spans="1:5">
      <c r="A27" s="547">
        <v>17</v>
      </c>
      <c r="B27" s="543" t="s">
        <v>275</v>
      </c>
      <c r="C27" s="544"/>
      <c r="D27" s="545"/>
      <c r="E27" s="546"/>
    </row>
    <row r="28" spans="1:5">
      <c r="A28" s="547">
        <v>18</v>
      </c>
      <c r="B28" s="543" t="s">
        <v>276</v>
      </c>
      <c r="C28" s="544"/>
      <c r="D28" s="545"/>
      <c r="E28" s="546"/>
    </row>
    <row r="29" spans="1:5">
      <c r="A29" s="547">
        <v>19</v>
      </c>
      <c r="B29" s="543" t="s">
        <v>277</v>
      </c>
      <c r="C29" s="544"/>
      <c r="D29" s="545"/>
      <c r="E29" s="546"/>
    </row>
    <row r="30" spans="1:5">
      <c r="A30" s="547">
        <v>20</v>
      </c>
      <c r="B30" s="543" t="s">
        <v>278</v>
      </c>
      <c r="C30" s="544"/>
      <c r="D30" s="545"/>
      <c r="E30" s="546"/>
    </row>
    <row r="31" spans="1:5">
      <c r="A31" s="547">
        <v>21</v>
      </c>
      <c r="B31" s="543" t="s">
        <v>279</v>
      </c>
      <c r="C31" s="544"/>
      <c r="D31" s="545"/>
      <c r="E31" s="546"/>
    </row>
    <row r="32" spans="1:5">
      <c r="A32" s="547">
        <v>22</v>
      </c>
      <c r="B32" s="543" t="s">
        <v>720</v>
      </c>
      <c r="C32" s="544"/>
      <c r="D32" s="545"/>
      <c r="E32" s="546"/>
    </row>
    <row r="33" spans="1:5">
      <c r="A33" s="547">
        <v>23</v>
      </c>
      <c r="B33" s="543" t="s">
        <v>280</v>
      </c>
      <c r="C33" s="544"/>
      <c r="D33" s="545"/>
      <c r="E33" s="546"/>
    </row>
    <row r="36" spans="1:5">
      <c r="A36" s="524" t="s">
        <v>284</v>
      </c>
    </row>
    <row r="37" spans="1:5">
      <c r="B37" s="529" t="s">
        <v>285</v>
      </c>
      <c r="C37" s="529" t="s">
        <v>286</v>
      </c>
      <c r="D37" s="525" t="s">
        <v>287</v>
      </c>
    </row>
    <row r="38" spans="1:5">
      <c r="B38" s="528"/>
      <c r="C38" s="528"/>
      <c r="D38" s="524"/>
    </row>
    <row r="39" spans="1:5">
      <c r="A39" s="524" t="s">
        <v>98</v>
      </c>
    </row>
    <row r="40" spans="1:5">
      <c r="B40" s="529" t="s">
        <v>285</v>
      </c>
      <c r="C40" s="529" t="s">
        <v>286</v>
      </c>
      <c r="D40" s="525" t="s">
        <v>287</v>
      </c>
    </row>
  </sheetData>
  <pageMargins left="0.7" right="0.7" top="0.75" bottom="0.75" header="0.3" footer="0.3"/>
  <pageSetup scale="98" orientation="portrait" r:id="rId1"/>
  <customProperties>
    <customPr name="IbpWorksheetKeyString_GU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customProperties>
    <customPr name="IbpWorksheetKeyString_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view="pageBreakPreview" zoomScaleNormal="125" workbookViewId="0">
      <selection activeCell="K38" sqref="K38"/>
    </sheetView>
  </sheetViews>
  <sheetFormatPr defaultRowHeight="12.75"/>
  <cols>
    <col min="1" max="1" width="14.5703125" style="23" customWidth="1"/>
    <col min="2" max="2" width="25.85546875" style="23" customWidth="1"/>
    <col min="3" max="3" width="19.7109375" style="23" customWidth="1"/>
    <col min="4" max="4" width="21.140625" style="23" customWidth="1"/>
    <col min="5" max="5" width="18.85546875" style="23" customWidth="1"/>
    <col min="6" max="6" width="19.140625" style="23" customWidth="1"/>
    <col min="7" max="7" width="9.140625" style="202" hidden="1" customWidth="1"/>
    <col min="8" max="16384" width="9.140625" style="23"/>
  </cols>
  <sheetData>
    <row r="1" spans="1:7" ht="9.75" customHeight="1">
      <c r="A1" s="3"/>
      <c r="B1" s="3"/>
      <c r="C1" s="3"/>
      <c r="D1" s="3"/>
      <c r="E1" s="3"/>
      <c r="F1" s="3"/>
      <c r="G1" s="246" t="b">
        <v>0</v>
      </c>
    </row>
    <row r="2" spans="1:7" ht="16.5" customHeight="1">
      <c r="A2" s="3"/>
      <c r="B2" s="3"/>
      <c r="C2" s="3"/>
      <c r="D2" s="3"/>
      <c r="E2" s="3"/>
      <c r="F2" s="3"/>
      <c r="G2" s="188"/>
    </row>
    <row r="3" spans="1:7">
      <c r="A3" s="3"/>
      <c r="B3" s="3"/>
      <c r="C3" s="3"/>
      <c r="D3" s="3"/>
      <c r="E3" s="3"/>
      <c r="F3" s="3"/>
      <c r="G3" s="184" t="s">
        <v>2</v>
      </c>
    </row>
    <row r="4" spans="1:7">
      <c r="A4" s="3"/>
      <c r="B4" s="3"/>
      <c r="C4" s="10"/>
      <c r="D4" s="3"/>
      <c r="E4" s="357"/>
      <c r="F4" s="10"/>
      <c r="G4" s="184" t="s">
        <v>10</v>
      </c>
    </row>
    <row r="5" spans="1:7" s="24" customFormat="1" ht="8.25">
      <c r="A5" s="6" t="s">
        <v>73</v>
      </c>
      <c r="B5" s="7"/>
      <c r="C5" s="8"/>
      <c r="D5" s="7" t="s">
        <v>257</v>
      </c>
      <c r="E5" s="5"/>
      <c r="F5" s="12"/>
      <c r="G5" s="201"/>
    </row>
    <row r="6" spans="1:7">
      <c r="A6" s="9"/>
      <c r="B6" s="10"/>
      <c r="C6" s="11"/>
      <c r="D6" s="15"/>
      <c r="E6" s="10"/>
      <c r="F6" s="11"/>
    </row>
    <row r="7" spans="1:7" s="24" customFormat="1" ht="8.25">
      <c r="A7" s="6" t="s">
        <v>304</v>
      </c>
      <c r="B7" s="7"/>
      <c r="C7" s="8"/>
      <c r="D7" s="7" t="s">
        <v>258</v>
      </c>
      <c r="E7" s="7"/>
      <c r="F7" s="8"/>
      <c r="G7" s="201"/>
    </row>
    <row r="8" spans="1:7" ht="13.5" thickBot="1">
      <c r="A8" s="9"/>
      <c r="B8" s="10"/>
      <c r="C8" s="11"/>
      <c r="D8" s="15"/>
      <c r="E8" s="10"/>
      <c r="F8" s="11"/>
    </row>
    <row r="9" spans="1:7" s="207" customFormat="1" ht="39.75" customHeight="1">
      <c r="A9" s="264" t="s">
        <v>293</v>
      </c>
      <c r="B9" s="442" t="s">
        <v>35</v>
      </c>
      <c r="C9" s="209" t="s">
        <v>299</v>
      </c>
      <c r="D9" s="442" t="s">
        <v>302</v>
      </c>
      <c r="E9" s="442" t="s">
        <v>303</v>
      </c>
      <c r="F9" s="549" t="s">
        <v>305</v>
      </c>
      <c r="G9" s="244"/>
    </row>
    <row r="10" spans="1:7" s="207" customFormat="1" ht="30" customHeight="1">
      <c r="A10" s="565" t="s">
        <v>301</v>
      </c>
      <c r="B10" s="558"/>
      <c r="C10" s="559"/>
      <c r="D10" s="558"/>
      <c r="E10" s="560"/>
      <c r="F10" s="561"/>
      <c r="G10" s="244"/>
    </row>
    <row r="11" spans="1:7" s="211" customFormat="1" ht="27" customHeight="1">
      <c r="A11" s="562" t="s">
        <v>294</v>
      </c>
      <c r="B11" s="213"/>
      <c r="C11" s="213"/>
      <c r="D11" s="213"/>
      <c r="E11" s="213"/>
      <c r="F11" s="214"/>
      <c r="G11" s="245"/>
    </row>
    <row r="12" spans="1:7" s="211" customFormat="1" ht="24.75" customHeight="1">
      <c r="A12" s="562" t="s">
        <v>295</v>
      </c>
      <c r="B12" s="213"/>
      <c r="C12" s="213"/>
      <c r="D12" s="213"/>
      <c r="E12" s="213"/>
      <c r="F12" s="214"/>
      <c r="G12" s="245"/>
    </row>
    <row r="13" spans="1:7" s="211" customFormat="1" ht="24.75" customHeight="1">
      <c r="A13" s="562" t="s">
        <v>666</v>
      </c>
      <c r="B13" s="213"/>
      <c r="C13" s="213"/>
      <c r="D13" s="213"/>
      <c r="E13" s="213"/>
      <c r="F13" s="214"/>
      <c r="G13" s="245"/>
    </row>
    <row r="14" spans="1:7" s="211" customFormat="1" ht="24" customHeight="1">
      <c r="A14" s="562" t="s">
        <v>296</v>
      </c>
      <c r="B14" s="213"/>
      <c r="C14" s="213"/>
      <c r="D14" s="213"/>
      <c r="E14" s="213"/>
      <c r="F14" s="214"/>
      <c r="G14" s="245"/>
    </row>
    <row r="15" spans="1:7" s="211" customFormat="1" ht="24" customHeight="1">
      <c r="A15" s="562" t="s">
        <v>297</v>
      </c>
      <c r="B15" s="213"/>
      <c r="C15" s="213"/>
      <c r="D15" s="213"/>
      <c r="E15" s="213"/>
      <c r="F15" s="214"/>
      <c r="G15" s="245"/>
    </row>
    <row r="16" spans="1:7" s="211" customFormat="1" ht="26.25" customHeight="1">
      <c r="A16" s="562" t="s">
        <v>298</v>
      </c>
      <c r="B16" s="213"/>
      <c r="C16" s="213"/>
      <c r="D16" s="213"/>
      <c r="E16" s="213"/>
      <c r="F16" s="214"/>
      <c r="G16" s="245"/>
    </row>
    <row r="17" spans="1:7" s="211" customFormat="1" ht="27.75" customHeight="1" thickBot="1">
      <c r="A17" s="563" t="s">
        <v>665</v>
      </c>
      <c r="B17" s="551"/>
      <c r="C17" s="551"/>
      <c r="D17" s="551"/>
      <c r="E17" s="551"/>
      <c r="F17" s="552"/>
      <c r="G17" s="245"/>
    </row>
    <row r="18" spans="1:7" s="211" customFormat="1" ht="13.5" thickBot="1">
      <c r="A18" s="564" t="s">
        <v>300</v>
      </c>
      <c r="B18" s="556"/>
      <c r="C18" s="556"/>
      <c r="D18" s="556"/>
      <c r="E18" s="556"/>
      <c r="F18" s="557"/>
      <c r="G18" s="245"/>
    </row>
    <row r="19" spans="1:7" s="211" customFormat="1">
      <c r="A19" s="553"/>
      <c r="B19" s="554"/>
      <c r="C19" s="554"/>
      <c r="D19" s="554"/>
      <c r="E19" s="554"/>
      <c r="F19" s="555"/>
      <c r="G19" s="245"/>
    </row>
    <row r="20" spans="1:7" s="211" customFormat="1">
      <c r="A20" s="212"/>
      <c r="B20" s="213"/>
      <c r="C20" s="213"/>
      <c r="D20" s="213"/>
      <c r="E20" s="213"/>
      <c r="F20" s="214"/>
      <c r="G20" s="245"/>
    </row>
    <row r="21" spans="1:7" s="211" customFormat="1">
      <c r="A21" s="212"/>
      <c r="B21" s="213"/>
      <c r="C21" s="213"/>
      <c r="D21" s="213"/>
      <c r="E21" s="213"/>
      <c r="F21" s="214"/>
      <c r="G21" s="245"/>
    </row>
    <row r="22" spans="1:7" s="211" customFormat="1">
      <c r="A22" s="212"/>
      <c r="B22" s="213"/>
      <c r="C22" s="213"/>
      <c r="D22" s="213"/>
      <c r="E22" s="213"/>
      <c r="F22" s="214"/>
      <c r="G22" s="245"/>
    </row>
    <row r="23" spans="1:7" s="211" customFormat="1">
      <c r="A23" s="212"/>
      <c r="B23" s="213"/>
      <c r="C23" s="213"/>
      <c r="D23" s="213"/>
      <c r="E23" s="213"/>
      <c r="F23" s="214"/>
      <c r="G23" s="245"/>
    </row>
    <row r="24" spans="1:7" s="211" customFormat="1">
      <c r="A24" s="212"/>
      <c r="B24" s="213"/>
      <c r="C24" s="213"/>
      <c r="D24" s="213"/>
      <c r="E24" s="213"/>
      <c r="F24" s="214"/>
      <c r="G24" s="245"/>
    </row>
    <row r="25" spans="1:7" s="211" customFormat="1">
      <c r="A25" s="212"/>
      <c r="B25" s="213"/>
      <c r="C25" s="213"/>
      <c r="D25" s="213"/>
      <c r="E25" s="213"/>
      <c r="F25" s="214"/>
      <c r="G25" s="245"/>
    </row>
    <row r="26" spans="1:7" s="211" customFormat="1">
      <c r="A26" s="212"/>
      <c r="B26" s="213"/>
      <c r="C26" s="213"/>
      <c r="D26" s="213"/>
      <c r="E26" s="213"/>
      <c r="F26" s="214"/>
      <c r="G26" s="245"/>
    </row>
    <row r="27" spans="1:7" s="211" customFormat="1">
      <c r="A27" s="212"/>
      <c r="B27" s="213"/>
      <c r="C27" s="213"/>
      <c r="D27" s="213"/>
      <c r="E27" s="213"/>
      <c r="F27" s="214"/>
      <c r="G27" s="245"/>
    </row>
    <row r="28" spans="1:7" s="211" customFormat="1">
      <c r="A28" s="212"/>
      <c r="B28" s="213"/>
      <c r="C28" s="213"/>
      <c r="D28" s="213"/>
      <c r="E28" s="213"/>
      <c r="F28" s="214"/>
      <c r="G28" s="245"/>
    </row>
    <row r="29" spans="1:7" s="211" customFormat="1">
      <c r="A29" s="212"/>
      <c r="B29" s="213"/>
      <c r="C29" s="213"/>
      <c r="D29" s="213"/>
      <c r="E29" s="213"/>
      <c r="F29" s="214"/>
      <c r="G29" s="245"/>
    </row>
    <row r="30" spans="1:7" s="211" customFormat="1">
      <c r="A30" s="212"/>
      <c r="B30" s="213"/>
      <c r="C30" s="213"/>
      <c r="D30" s="213"/>
      <c r="E30" s="213"/>
      <c r="F30" s="214"/>
      <c r="G30" s="245"/>
    </row>
    <row r="31" spans="1:7" s="211" customFormat="1">
      <c r="A31" s="212"/>
      <c r="B31" s="213"/>
      <c r="C31" s="213"/>
      <c r="D31" s="213"/>
      <c r="E31" s="213"/>
      <c r="F31" s="214"/>
      <c r="G31" s="245"/>
    </row>
    <row r="32" spans="1:7" s="211" customFormat="1">
      <c r="A32" s="212"/>
      <c r="B32" s="213"/>
      <c r="C32" s="213"/>
      <c r="D32" s="213"/>
      <c r="E32" s="213"/>
      <c r="F32" s="214"/>
      <c r="G32" s="245"/>
    </row>
    <row r="33" spans="1:7" s="211" customFormat="1">
      <c r="A33" s="212"/>
      <c r="B33" s="213"/>
      <c r="C33" s="213"/>
      <c r="D33" s="213"/>
      <c r="E33" s="213"/>
      <c r="F33" s="214"/>
      <c r="G33" s="245"/>
    </row>
    <row r="34" spans="1:7" s="211" customFormat="1">
      <c r="A34" s="212"/>
      <c r="B34" s="213"/>
      <c r="C34" s="213"/>
      <c r="D34" s="213"/>
      <c r="E34" s="213"/>
      <c r="F34" s="214"/>
      <c r="G34" s="245"/>
    </row>
    <row r="35" spans="1:7" s="211" customFormat="1">
      <c r="A35" s="212"/>
      <c r="B35" s="213"/>
      <c r="C35" s="213"/>
      <c r="D35" s="213"/>
      <c r="E35" s="213"/>
      <c r="F35" s="214"/>
      <c r="G35" s="245"/>
    </row>
    <row r="36" spans="1:7" s="211" customFormat="1" ht="13.5" thickBot="1">
      <c r="A36" s="215"/>
      <c r="B36" s="216"/>
      <c r="C36" s="216"/>
      <c r="D36" s="216"/>
      <c r="E36" s="216"/>
      <c r="F36" s="217"/>
      <c r="G36" s="245"/>
    </row>
    <row r="37" spans="1:7">
      <c r="A37" s="3"/>
      <c r="B37" s="3"/>
      <c r="C37" s="3"/>
      <c r="D37" s="3"/>
      <c r="E37" s="3"/>
      <c r="F37" s="3"/>
    </row>
    <row r="38" spans="1:7" s="24" customFormat="1" ht="11.25">
      <c r="A38" s="172"/>
      <c r="B38" s="56" t="s">
        <v>76</v>
      </c>
      <c r="C38" s="56"/>
      <c r="D38" s="56" t="s">
        <v>35</v>
      </c>
      <c r="E38" s="257" t="s">
        <v>27</v>
      </c>
      <c r="F38" s="266"/>
      <c r="G38" s="201"/>
    </row>
    <row r="39" spans="1:7">
      <c r="A39" s="3"/>
      <c r="B39" s="219"/>
      <c r="C39" s="219"/>
      <c r="D39" s="219"/>
      <c r="E39" s="218"/>
      <c r="F39" s="198"/>
    </row>
  </sheetData>
  <pageMargins left="0.39370078740157483" right="0.31496062992125984" top="0.6692913385826772" bottom="0.70866141732283472" header="0.39370078740157483" footer="0.51181102362204722"/>
  <pageSetup scale="85" orientation="portrait" r:id="rId1"/>
  <headerFooter alignWithMargins="0"/>
  <customProperties>
    <customPr name="IbpWorksheetKeyString_GUID" r:id="rId2"/>
  </customPropertie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999"/>
  <sheetViews>
    <sheetView showGridLines="0" view="pageBreakPreview" zoomScaleNormal="100" zoomScaleSheetLayoutView="100" workbookViewId="0">
      <pane ySplit="14" topLeftCell="A15" activePane="bottomLeft" state="frozen"/>
      <selection pane="bottomLeft" activeCell="H14" sqref="H14"/>
    </sheetView>
  </sheetViews>
  <sheetFormatPr defaultRowHeight="12.75"/>
  <cols>
    <col min="1" max="2" width="12.7109375" style="135" customWidth="1"/>
    <col min="3" max="3" width="15.140625" style="135" customWidth="1"/>
    <col min="4" max="5" width="2.7109375" style="136" customWidth="1"/>
    <col min="6" max="6" width="15.42578125" style="135" customWidth="1"/>
    <col min="7" max="7" width="2.7109375" style="136" customWidth="1"/>
    <col min="8" max="8" width="13.7109375" style="135" customWidth="1"/>
    <col min="9" max="9" width="2.7109375" style="136" customWidth="1"/>
    <col min="10" max="10" width="3.28515625" style="136" customWidth="1"/>
    <col min="11" max="11" width="14.7109375" style="135" customWidth="1"/>
    <col min="12" max="12" width="12.7109375" style="135" customWidth="1"/>
    <col min="13" max="13" width="14.7109375" style="135" customWidth="1"/>
    <col min="14" max="16" width="2.7109375" style="135" customWidth="1"/>
    <col min="17" max="17" width="3.28515625" style="220" customWidth="1"/>
    <col min="18" max="18" width="9.140625" style="204" hidden="1" customWidth="1"/>
    <col min="19" max="16384" width="9.140625" style="67"/>
  </cols>
  <sheetData>
    <row r="1" spans="1:19" s="25" customFormat="1">
      <c r="A1" s="221"/>
      <c r="B1" s="279"/>
      <c r="C1" s="280"/>
      <c r="D1" s="281"/>
      <c r="E1" s="282"/>
      <c r="F1" s="438" t="s">
        <v>244</v>
      </c>
      <c r="G1" s="283"/>
      <c r="H1" s="283"/>
      <c r="I1" s="283"/>
      <c r="J1" s="283"/>
      <c r="K1" s="283"/>
      <c r="L1" s="280"/>
      <c r="M1" s="280"/>
      <c r="N1" s="280"/>
      <c r="O1" s="280"/>
      <c r="P1" s="280"/>
      <c r="Q1" s="280"/>
      <c r="R1" s="238"/>
      <c r="S1" s="28"/>
    </row>
    <row r="2" spans="1:19" s="28" customFormat="1" ht="26.25" customHeight="1">
      <c r="A2" s="279"/>
      <c r="B2" s="279"/>
      <c r="C2" s="280"/>
      <c r="D2" s="284"/>
      <c r="E2" s="284"/>
      <c r="F2" s="280"/>
      <c r="G2" s="284"/>
      <c r="H2" s="280"/>
      <c r="I2" s="284"/>
      <c r="J2" s="284"/>
      <c r="K2" s="280"/>
      <c r="L2" s="280"/>
      <c r="M2" s="280"/>
      <c r="N2" s="280"/>
      <c r="O2" s="280"/>
      <c r="P2" s="280"/>
      <c r="Q2" s="280"/>
      <c r="R2" s="238"/>
    </row>
    <row r="3" spans="1:19" s="24" customFormat="1" ht="11.25">
      <c r="A3" s="441"/>
      <c r="B3" s="296" t="s">
        <v>200</v>
      </c>
      <c r="C3" s="280"/>
      <c r="D3" s="284"/>
      <c r="E3" s="284"/>
      <c r="F3" s="280"/>
      <c r="G3" s="284"/>
      <c r="H3" s="280"/>
      <c r="I3" s="284"/>
      <c r="J3" s="284"/>
      <c r="K3" s="280"/>
      <c r="L3" s="429" t="s">
        <v>77</v>
      </c>
      <c r="M3" s="286"/>
      <c r="N3" s="286"/>
      <c r="O3" s="286"/>
      <c r="P3" s="286"/>
      <c r="Q3" s="286"/>
      <c r="R3" s="191"/>
      <c r="S3" s="28"/>
    </row>
    <row r="4" spans="1:19" s="24" customFormat="1" ht="11.25">
      <c r="A4" s="429"/>
      <c r="B4" s="280"/>
      <c r="C4" s="280"/>
      <c r="D4" s="284"/>
      <c r="E4" s="284"/>
      <c r="F4" s="280"/>
      <c r="G4" s="284"/>
      <c r="H4" s="280"/>
      <c r="I4" s="284"/>
      <c r="J4" s="284"/>
      <c r="K4" s="280"/>
      <c r="L4" s="280"/>
      <c r="M4" s="280"/>
      <c r="N4" s="280"/>
      <c r="O4" s="280"/>
      <c r="P4" s="280"/>
      <c r="Q4" s="280"/>
      <c r="R4" s="191" t="s">
        <v>4</v>
      </c>
      <c r="S4" s="28"/>
    </row>
    <row r="5" spans="1:19" s="24" customFormat="1" ht="11.25">
      <c r="A5" s="430"/>
      <c r="B5" s="429" t="s">
        <v>201</v>
      </c>
      <c r="C5" s="280"/>
      <c r="D5" s="284"/>
      <c r="E5" s="284"/>
      <c r="F5" s="280"/>
      <c r="G5" s="284"/>
      <c r="H5" s="280"/>
      <c r="I5" s="436"/>
      <c r="J5" s="344"/>
      <c r="K5" s="280"/>
      <c r="L5" s="436" t="s">
        <v>78</v>
      </c>
      <c r="M5" s="285"/>
      <c r="N5" s="437" t="s">
        <v>202</v>
      </c>
      <c r="O5" s="286"/>
      <c r="P5" s="286"/>
      <c r="Q5" s="286"/>
      <c r="R5" s="243"/>
      <c r="S5" s="28"/>
    </row>
    <row r="6" spans="1:19" s="25" customFormat="1">
      <c r="A6" s="280"/>
      <c r="B6" s="280"/>
      <c r="C6" s="280"/>
      <c r="D6" s="284"/>
      <c r="E6" s="284"/>
      <c r="F6" s="280"/>
      <c r="G6" s="284"/>
      <c r="H6" s="280"/>
      <c r="I6" s="284"/>
      <c r="J6" s="344"/>
      <c r="K6" s="280"/>
      <c r="L6" s="432" t="s">
        <v>1</v>
      </c>
      <c r="M6" s="280"/>
      <c r="N6" s="280"/>
      <c r="O6" s="280"/>
      <c r="P6" s="280"/>
      <c r="Q6" s="280"/>
      <c r="R6" s="243"/>
      <c r="S6" s="28"/>
    </row>
    <row r="7" spans="1:19" s="24" customFormat="1" ht="11.25">
      <c r="A7" s="430"/>
      <c r="B7" s="429" t="s">
        <v>199</v>
      </c>
      <c r="C7" s="439"/>
      <c r="D7" s="280"/>
      <c r="E7" s="429" t="s">
        <v>80</v>
      </c>
      <c r="F7" s="280"/>
      <c r="G7" s="280"/>
      <c r="H7" s="286"/>
      <c r="I7" s="429" t="s">
        <v>203</v>
      </c>
      <c r="J7" s="280"/>
      <c r="K7" s="429" t="s">
        <v>245</v>
      </c>
      <c r="L7" s="286"/>
      <c r="M7" s="430"/>
      <c r="N7" s="286"/>
      <c r="O7" s="286"/>
      <c r="P7" s="286"/>
      <c r="Q7" s="286"/>
      <c r="R7" s="243"/>
      <c r="S7" s="28"/>
    </row>
    <row r="8" spans="1:19" s="25" customFormat="1">
      <c r="A8" s="431"/>
      <c r="B8" s="280"/>
      <c r="C8" s="280"/>
      <c r="D8" s="280"/>
      <c r="E8" s="432" t="s">
        <v>1</v>
      </c>
      <c r="F8" s="280"/>
      <c r="G8" s="280"/>
      <c r="H8" s="280"/>
      <c r="I8" s="432" t="s">
        <v>1</v>
      </c>
      <c r="J8" s="280"/>
      <c r="K8" s="280"/>
      <c r="L8" s="280"/>
      <c r="M8" s="432" t="s">
        <v>1</v>
      </c>
      <c r="N8" s="280"/>
      <c r="O8" s="280"/>
      <c r="P8" s="280"/>
      <c r="Q8" s="280"/>
      <c r="R8" s="243"/>
      <c r="S8" s="28"/>
    </row>
    <row r="9" spans="1:19" s="24" customFormat="1" ht="11.25">
      <c r="A9" s="429" t="s">
        <v>79</v>
      </c>
      <c r="B9" s="280"/>
      <c r="C9" s="439"/>
      <c r="D9" s="280"/>
      <c r="E9" s="429" t="s">
        <v>206</v>
      </c>
      <c r="F9" s="280"/>
      <c r="G9" s="286"/>
      <c r="H9" s="286"/>
      <c r="I9" s="429" t="s">
        <v>204</v>
      </c>
      <c r="J9" s="280"/>
      <c r="K9" s="433"/>
      <c r="L9" s="440"/>
      <c r="M9" s="429" t="s">
        <v>205</v>
      </c>
      <c r="N9" s="286"/>
      <c r="O9" s="286"/>
      <c r="P9" s="286"/>
      <c r="Q9" s="286"/>
      <c r="R9" s="243"/>
      <c r="S9" s="28"/>
    </row>
    <row r="10" spans="1:19" s="25" customFormat="1">
      <c r="A10" s="431"/>
      <c r="B10" s="280"/>
      <c r="C10" s="280"/>
      <c r="D10" s="280"/>
      <c r="E10" s="434" t="s">
        <v>1</v>
      </c>
      <c r="F10" s="283"/>
      <c r="G10" s="283"/>
      <c r="H10" s="283"/>
      <c r="I10" s="434" t="s">
        <v>1</v>
      </c>
      <c r="J10" s="283"/>
      <c r="K10" s="435"/>
      <c r="L10" s="435"/>
      <c r="M10" s="434" t="s">
        <v>1</v>
      </c>
      <c r="N10" s="283"/>
      <c r="O10" s="283"/>
      <c r="P10" s="283"/>
      <c r="Q10" s="283"/>
      <c r="R10" s="243"/>
      <c r="S10" s="28"/>
    </row>
    <row r="11" spans="1:19" s="25" customFormat="1">
      <c r="A11" s="429" t="s">
        <v>82</v>
      </c>
      <c r="B11" s="286"/>
      <c r="C11" s="286"/>
      <c r="D11" s="345"/>
      <c r="E11" s="345"/>
      <c r="F11" s="286"/>
      <c r="G11" s="345"/>
      <c r="H11" s="286"/>
      <c r="I11" s="345"/>
      <c r="J11" s="345"/>
      <c r="K11" s="286"/>
      <c r="L11" s="286"/>
      <c r="M11" s="286"/>
      <c r="N11" s="286"/>
      <c r="O11" s="286"/>
      <c r="P11" s="286"/>
      <c r="Q11" s="286"/>
      <c r="R11" s="243"/>
      <c r="S11" s="28"/>
    </row>
    <row r="12" spans="1:19" s="25" customFormat="1">
      <c r="A12" s="432"/>
      <c r="B12" s="280"/>
      <c r="C12" s="280"/>
      <c r="D12" s="284"/>
      <c r="E12" s="284"/>
      <c r="F12" s="280"/>
      <c r="G12" s="284"/>
      <c r="H12" s="280"/>
      <c r="I12" s="284"/>
      <c r="J12" s="284"/>
      <c r="K12" s="280"/>
      <c r="L12" s="280"/>
      <c r="M12" s="280"/>
      <c r="N12" s="280"/>
      <c r="O12" s="280"/>
      <c r="P12" s="280"/>
      <c r="Q12" s="280"/>
      <c r="R12" s="243"/>
      <c r="S12" s="28"/>
    </row>
    <row r="13" spans="1:19" s="25" customFormat="1">
      <c r="A13" s="255"/>
      <c r="B13" s="280"/>
      <c r="C13" s="280"/>
      <c r="D13" s="284"/>
      <c r="E13" s="284"/>
      <c r="F13" s="280"/>
      <c r="G13" s="284"/>
      <c r="H13" s="280"/>
      <c r="I13" s="284"/>
      <c r="J13" s="284"/>
      <c r="K13" s="280"/>
      <c r="L13" s="280"/>
      <c r="M13" s="280"/>
      <c r="N13" s="280"/>
      <c r="O13" s="280"/>
      <c r="P13" s="280"/>
      <c r="Q13" s="287"/>
      <c r="R13" s="243"/>
      <c r="S13" s="28"/>
    </row>
    <row r="14" spans="1:19" s="474" customFormat="1" ht="56.25" customHeight="1">
      <c r="A14" s="288" t="s">
        <v>246</v>
      </c>
      <c r="B14" s="288" t="s">
        <v>236</v>
      </c>
      <c r="C14" s="288" t="s">
        <v>247</v>
      </c>
      <c r="D14" s="522" t="s">
        <v>250</v>
      </c>
      <c r="E14" s="167" t="s">
        <v>237</v>
      </c>
      <c r="F14" s="288" t="s">
        <v>248</v>
      </c>
      <c r="G14" s="522" t="s">
        <v>251</v>
      </c>
      <c r="H14" s="288" t="s">
        <v>238</v>
      </c>
      <c r="I14" s="522" t="s">
        <v>252</v>
      </c>
      <c r="J14" s="475" t="s">
        <v>249</v>
      </c>
      <c r="K14" s="288" t="s">
        <v>240</v>
      </c>
      <c r="L14" s="288" t="s">
        <v>241</v>
      </c>
      <c r="M14" s="288" t="s">
        <v>242</v>
      </c>
      <c r="N14" s="522" t="s">
        <v>250</v>
      </c>
      <c r="O14" s="522" t="s">
        <v>251</v>
      </c>
      <c r="P14" s="522" t="s">
        <v>252</v>
      </c>
      <c r="Q14" s="289" t="s">
        <v>239</v>
      </c>
      <c r="R14" s="290"/>
      <c r="S14" s="290"/>
    </row>
    <row r="15" spans="1:19">
      <c r="B15" s="291"/>
      <c r="C15" s="291"/>
      <c r="D15" s="292"/>
      <c r="E15" s="292"/>
      <c r="F15" s="291" t="s">
        <v>1</v>
      </c>
      <c r="G15" s="292"/>
      <c r="H15" s="291" t="s">
        <v>1</v>
      </c>
      <c r="I15" s="292"/>
      <c r="J15" s="292" t="str">
        <f t="shared" ref="J15:J78" si="0">IF(D15+G15+I15,D15*G15*I15,"")</f>
        <v/>
      </c>
      <c r="K15" s="291"/>
      <c r="L15" s="291"/>
      <c r="M15" s="291"/>
      <c r="N15" s="291"/>
      <c r="O15" s="291"/>
      <c r="P15" s="291"/>
      <c r="Q15" s="293" t="str">
        <f t="shared" ref="Q15:Q78" si="1">IF(N15+O15+P15,N15*O15*P15,"")</f>
        <v/>
      </c>
      <c r="R15" s="294"/>
      <c r="S15" s="295"/>
    </row>
    <row r="16" spans="1:19">
      <c r="B16" s="291"/>
      <c r="C16" s="291"/>
      <c r="D16" s="292"/>
      <c r="E16" s="292"/>
      <c r="F16" s="291"/>
      <c r="G16" s="292"/>
      <c r="H16" s="291"/>
      <c r="I16" s="292"/>
      <c r="J16" s="292" t="str">
        <f t="shared" si="0"/>
        <v/>
      </c>
      <c r="K16" s="291"/>
      <c r="L16" s="291"/>
      <c r="M16" s="291"/>
      <c r="N16" s="291"/>
      <c r="O16" s="291"/>
      <c r="P16" s="291"/>
      <c r="Q16" s="293" t="str">
        <f t="shared" si="1"/>
        <v/>
      </c>
      <c r="R16" s="294"/>
      <c r="S16" s="295"/>
    </row>
    <row r="17" spans="2:19">
      <c r="B17" s="291"/>
      <c r="C17" s="291"/>
      <c r="D17" s="292"/>
      <c r="E17" s="292"/>
      <c r="F17" s="291"/>
      <c r="G17" s="292"/>
      <c r="H17" s="291"/>
      <c r="I17" s="292"/>
      <c r="J17" s="292" t="str">
        <f t="shared" si="0"/>
        <v/>
      </c>
      <c r="K17" s="291"/>
      <c r="L17" s="291"/>
      <c r="M17" s="291"/>
      <c r="N17" s="291"/>
      <c r="O17" s="291"/>
      <c r="P17" s="291"/>
      <c r="Q17" s="293" t="str">
        <f t="shared" si="1"/>
        <v/>
      </c>
      <c r="R17" s="294"/>
      <c r="S17" s="295"/>
    </row>
    <row r="18" spans="2:19">
      <c r="B18" s="291"/>
      <c r="C18" s="291"/>
      <c r="D18" s="292"/>
      <c r="E18" s="292"/>
      <c r="F18" s="291"/>
      <c r="G18" s="292"/>
      <c r="H18" s="291"/>
      <c r="I18" s="292"/>
      <c r="J18" s="292" t="str">
        <f t="shared" si="0"/>
        <v/>
      </c>
      <c r="K18" s="291"/>
      <c r="L18" s="291"/>
      <c r="M18" s="291"/>
      <c r="N18" s="291"/>
      <c r="O18" s="291"/>
      <c r="P18" s="291"/>
      <c r="Q18" s="293" t="str">
        <f t="shared" si="1"/>
        <v/>
      </c>
      <c r="R18" s="294"/>
      <c r="S18" s="295"/>
    </row>
    <row r="19" spans="2:19">
      <c r="B19" s="291"/>
      <c r="C19" s="291"/>
      <c r="D19" s="292"/>
      <c r="E19" s="292"/>
      <c r="F19" s="291"/>
      <c r="G19" s="292"/>
      <c r="H19" s="291"/>
      <c r="I19" s="292"/>
      <c r="J19" s="292" t="str">
        <f t="shared" si="0"/>
        <v/>
      </c>
      <c r="K19" s="291"/>
      <c r="L19" s="291"/>
      <c r="M19" s="291"/>
      <c r="N19" s="291"/>
      <c r="O19" s="291"/>
      <c r="P19" s="291"/>
      <c r="Q19" s="293" t="str">
        <f t="shared" si="1"/>
        <v/>
      </c>
      <c r="R19" s="294"/>
      <c r="S19" s="295"/>
    </row>
    <row r="20" spans="2:19">
      <c r="B20" s="291"/>
      <c r="C20" s="291"/>
      <c r="D20" s="292"/>
      <c r="E20" s="292"/>
      <c r="F20" s="291"/>
      <c r="G20" s="292"/>
      <c r="H20" s="291"/>
      <c r="I20" s="292"/>
      <c r="J20" s="292" t="str">
        <f t="shared" si="0"/>
        <v/>
      </c>
      <c r="K20" s="291"/>
      <c r="L20" s="291"/>
      <c r="M20" s="291"/>
      <c r="N20" s="291"/>
      <c r="O20" s="291"/>
      <c r="P20" s="291"/>
      <c r="Q20" s="293" t="str">
        <f t="shared" si="1"/>
        <v/>
      </c>
      <c r="R20" s="294"/>
      <c r="S20" s="295"/>
    </row>
    <row r="21" spans="2:19">
      <c r="J21" s="136" t="str">
        <f t="shared" si="0"/>
        <v/>
      </c>
      <c r="Q21" s="220" t="str">
        <f t="shared" si="1"/>
        <v/>
      </c>
    </row>
    <row r="22" spans="2:19">
      <c r="J22" s="136" t="str">
        <f t="shared" si="0"/>
        <v/>
      </c>
      <c r="Q22" s="220" t="str">
        <f t="shared" si="1"/>
        <v/>
      </c>
    </row>
    <row r="23" spans="2:19">
      <c r="J23" s="136" t="str">
        <f t="shared" si="0"/>
        <v/>
      </c>
      <c r="Q23" s="220" t="str">
        <f t="shared" si="1"/>
        <v/>
      </c>
    </row>
    <row r="24" spans="2:19">
      <c r="J24" s="136" t="str">
        <f t="shared" si="0"/>
        <v/>
      </c>
      <c r="Q24" s="220" t="str">
        <f t="shared" si="1"/>
        <v/>
      </c>
    </row>
    <row r="25" spans="2:19">
      <c r="J25" s="136" t="str">
        <f t="shared" si="0"/>
        <v/>
      </c>
      <c r="Q25" s="220" t="str">
        <f t="shared" si="1"/>
        <v/>
      </c>
    </row>
    <row r="26" spans="2:19">
      <c r="J26" s="136" t="str">
        <f t="shared" si="0"/>
        <v/>
      </c>
      <c r="Q26" s="220" t="str">
        <f t="shared" si="1"/>
        <v/>
      </c>
    </row>
    <row r="27" spans="2:19">
      <c r="J27" s="136" t="str">
        <f t="shared" si="0"/>
        <v/>
      </c>
      <c r="Q27" s="220" t="str">
        <f t="shared" si="1"/>
        <v/>
      </c>
    </row>
    <row r="28" spans="2:19">
      <c r="J28" s="136" t="str">
        <f t="shared" si="0"/>
        <v/>
      </c>
      <c r="Q28" s="220" t="str">
        <f t="shared" si="1"/>
        <v/>
      </c>
    </row>
    <row r="29" spans="2:19">
      <c r="J29" s="136" t="str">
        <f t="shared" si="0"/>
        <v/>
      </c>
      <c r="Q29" s="220" t="str">
        <f t="shared" si="1"/>
        <v/>
      </c>
    </row>
    <row r="30" spans="2:19">
      <c r="J30" s="136" t="str">
        <f t="shared" si="0"/>
        <v/>
      </c>
      <c r="Q30" s="220" t="str">
        <f t="shared" si="1"/>
        <v/>
      </c>
    </row>
    <row r="31" spans="2:19">
      <c r="J31" s="136" t="str">
        <f t="shared" si="0"/>
        <v/>
      </c>
      <c r="Q31" s="220" t="str">
        <f t="shared" si="1"/>
        <v/>
      </c>
    </row>
    <row r="32" spans="2:19">
      <c r="J32" s="136" t="str">
        <f t="shared" si="0"/>
        <v/>
      </c>
      <c r="Q32" s="220" t="str">
        <f t="shared" si="1"/>
        <v/>
      </c>
    </row>
    <row r="33" spans="1:17">
      <c r="J33" s="136" t="str">
        <f t="shared" si="0"/>
        <v/>
      </c>
      <c r="Q33" s="220" t="str">
        <f t="shared" si="1"/>
        <v/>
      </c>
    </row>
    <row r="34" spans="1:17">
      <c r="J34" s="136" t="str">
        <f t="shared" si="0"/>
        <v/>
      </c>
      <c r="Q34" s="220" t="str">
        <f t="shared" si="1"/>
        <v/>
      </c>
    </row>
    <row r="35" spans="1:17">
      <c r="J35" s="136" t="str">
        <f t="shared" si="0"/>
        <v/>
      </c>
      <c r="Q35" s="220" t="str">
        <f t="shared" si="1"/>
        <v/>
      </c>
    </row>
    <row r="36" spans="1:17">
      <c r="J36" s="136" t="str">
        <f t="shared" si="0"/>
        <v/>
      </c>
      <c r="Q36" s="220" t="str">
        <f t="shared" si="1"/>
        <v/>
      </c>
    </row>
    <row r="37" spans="1:17">
      <c r="J37" s="136" t="str">
        <f t="shared" si="0"/>
        <v/>
      </c>
      <c r="Q37" s="220" t="str">
        <f t="shared" si="1"/>
        <v/>
      </c>
    </row>
    <row r="38" spans="1:17">
      <c r="J38" s="136" t="str">
        <f t="shared" si="0"/>
        <v/>
      </c>
      <c r="Q38" s="220" t="str">
        <f t="shared" si="1"/>
        <v/>
      </c>
    </row>
    <row r="39" spans="1:17">
      <c r="J39" s="136" t="str">
        <f t="shared" si="0"/>
        <v/>
      </c>
      <c r="Q39" s="220" t="str">
        <f t="shared" si="1"/>
        <v/>
      </c>
    </row>
    <row r="40" spans="1:17">
      <c r="A40" s="135" t="s">
        <v>22</v>
      </c>
      <c r="J40" s="136" t="str">
        <f t="shared" si="0"/>
        <v/>
      </c>
      <c r="Q40" s="220" t="str">
        <f t="shared" si="1"/>
        <v/>
      </c>
    </row>
    <row r="41" spans="1:17">
      <c r="J41" s="136" t="str">
        <f t="shared" si="0"/>
        <v/>
      </c>
      <c r="Q41" s="220" t="str">
        <f t="shared" si="1"/>
        <v/>
      </c>
    </row>
    <row r="42" spans="1:17">
      <c r="J42" s="136" t="str">
        <f t="shared" si="0"/>
        <v/>
      </c>
      <c r="Q42" s="220" t="str">
        <f t="shared" si="1"/>
        <v/>
      </c>
    </row>
    <row r="43" spans="1:17">
      <c r="J43" s="136" t="str">
        <f t="shared" si="0"/>
        <v/>
      </c>
      <c r="Q43" s="220" t="str">
        <f t="shared" si="1"/>
        <v/>
      </c>
    </row>
    <row r="44" spans="1:17">
      <c r="J44" s="136" t="str">
        <f t="shared" si="0"/>
        <v/>
      </c>
      <c r="Q44" s="220" t="str">
        <f t="shared" si="1"/>
        <v/>
      </c>
    </row>
    <row r="45" spans="1:17">
      <c r="J45" s="136" t="str">
        <f t="shared" si="0"/>
        <v/>
      </c>
      <c r="Q45" s="220" t="str">
        <f t="shared" si="1"/>
        <v/>
      </c>
    </row>
    <row r="46" spans="1:17">
      <c r="J46" s="136" t="str">
        <f t="shared" si="0"/>
        <v/>
      </c>
      <c r="Q46" s="220" t="str">
        <f t="shared" si="1"/>
        <v/>
      </c>
    </row>
    <row r="47" spans="1:17">
      <c r="J47" s="136" t="str">
        <f t="shared" si="0"/>
        <v/>
      </c>
      <c r="Q47" s="220" t="str">
        <f t="shared" si="1"/>
        <v/>
      </c>
    </row>
    <row r="48" spans="1:17">
      <c r="J48" s="136" t="str">
        <f t="shared" si="0"/>
        <v/>
      </c>
      <c r="Q48" s="220" t="str">
        <f t="shared" si="1"/>
        <v/>
      </c>
    </row>
    <row r="49" spans="10:17">
      <c r="J49" s="136" t="str">
        <f t="shared" si="0"/>
        <v/>
      </c>
      <c r="Q49" s="220" t="str">
        <f t="shared" si="1"/>
        <v/>
      </c>
    </row>
    <row r="50" spans="10:17">
      <c r="J50" s="136" t="str">
        <f t="shared" si="0"/>
        <v/>
      </c>
      <c r="Q50" s="220" t="str">
        <f t="shared" si="1"/>
        <v/>
      </c>
    </row>
    <row r="51" spans="10:17">
      <c r="J51" s="136" t="str">
        <f t="shared" si="0"/>
        <v/>
      </c>
      <c r="Q51" s="220" t="str">
        <f t="shared" si="1"/>
        <v/>
      </c>
    </row>
    <row r="52" spans="10:17">
      <c r="J52" s="136" t="str">
        <f t="shared" si="0"/>
        <v/>
      </c>
      <c r="Q52" s="220" t="str">
        <f t="shared" si="1"/>
        <v/>
      </c>
    </row>
    <row r="53" spans="10:17">
      <c r="J53" s="136" t="str">
        <f t="shared" si="0"/>
        <v/>
      </c>
      <c r="Q53" s="220" t="str">
        <f t="shared" si="1"/>
        <v/>
      </c>
    </row>
    <row r="54" spans="10:17">
      <c r="J54" s="136" t="str">
        <f t="shared" si="0"/>
        <v/>
      </c>
      <c r="Q54" s="220" t="str">
        <f t="shared" si="1"/>
        <v/>
      </c>
    </row>
    <row r="55" spans="10:17">
      <c r="J55" s="136" t="str">
        <f t="shared" si="0"/>
        <v/>
      </c>
      <c r="Q55" s="220" t="str">
        <f t="shared" si="1"/>
        <v/>
      </c>
    </row>
    <row r="56" spans="10:17">
      <c r="J56" s="136" t="str">
        <f t="shared" si="0"/>
        <v/>
      </c>
      <c r="Q56" s="220" t="str">
        <f t="shared" si="1"/>
        <v/>
      </c>
    </row>
    <row r="57" spans="10:17">
      <c r="J57" s="136" t="str">
        <f t="shared" si="0"/>
        <v/>
      </c>
      <c r="Q57" s="220" t="str">
        <f t="shared" si="1"/>
        <v/>
      </c>
    </row>
    <row r="58" spans="10:17">
      <c r="J58" s="136" t="str">
        <f t="shared" si="0"/>
        <v/>
      </c>
      <c r="Q58" s="220" t="str">
        <f t="shared" si="1"/>
        <v/>
      </c>
    </row>
    <row r="59" spans="10:17">
      <c r="J59" s="136" t="str">
        <f t="shared" si="0"/>
        <v/>
      </c>
      <c r="Q59" s="220" t="str">
        <f t="shared" si="1"/>
        <v/>
      </c>
    </row>
    <row r="60" spans="10:17">
      <c r="J60" s="136" t="str">
        <f t="shared" si="0"/>
        <v/>
      </c>
      <c r="Q60" s="220" t="str">
        <f t="shared" si="1"/>
        <v/>
      </c>
    </row>
    <row r="61" spans="10:17">
      <c r="J61" s="136" t="str">
        <f t="shared" si="0"/>
        <v/>
      </c>
      <c r="Q61" s="220" t="str">
        <f t="shared" si="1"/>
        <v/>
      </c>
    </row>
    <row r="62" spans="10:17">
      <c r="J62" s="136" t="str">
        <f t="shared" si="0"/>
        <v/>
      </c>
      <c r="Q62" s="220" t="str">
        <f t="shared" si="1"/>
        <v/>
      </c>
    </row>
    <row r="63" spans="10:17">
      <c r="J63" s="136" t="str">
        <f t="shared" si="0"/>
        <v/>
      </c>
      <c r="Q63" s="220" t="str">
        <f t="shared" si="1"/>
        <v/>
      </c>
    </row>
    <row r="64" spans="10:17">
      <c r="J64" s="136" t="str">
        <f t="shared" si="0"/>
        <v/>
      </c>
      <c r="Q64" s="220" t="str">
        <f t="shared" si="1"/>
        <v/>
      </c>
    </row>
    <row r="65" spans="10:17">
      <c r="J65" s="136" t="str">
        <f t="shared" si="0"/>
        <v/>
      </c>
      <c r="Q65" s="220" t="str">
        <f t="shared" si="1"/>
        <v/>
      </c>
    </row>
    <row r="66" spans="10:17">
      <c r="J66" s="136" t="str">
        <f t="shared" si="0"/>
        <v/>
      </c>
      <c r="Q66" s="220" t="str">
        <f t="shared" si="1"/>
        <v/>
      </c>
    </row>
    <row r="67" spans="10:17">
      <c r="J67" s="136" t="str">
        <f t="shared" si="0"/>
        <v/>
      </c>
      <c r="Q67" s="220" t="str">
        <f t="shared" si="1"/>
        <v/>
      </c>
    </row>
    <row r="68" spans="10:17">
      <c r="J68" s="136" t="str">
        <f t="shared" si="0"/>
        <v/>
      </c>
      <c r="Q68" s="220" t="str">
        <f t="shared" si="1"/>
        <v/>
      </c>
    </row>
    <row r="69" spans="10:17">
      <c r="J69" s="136" t="str">
        <f t="shared" si="0"/>
        <v/>
      </c>
      <c r="Q69" s="220" t="str">
        <f t="shared" si="1"/>
        <v/>
      </c>
    </row>
    <row r="70" spans="10:17">
      <c r="J70" s="136" t="str">
        <f t="shared" si="0"/>
        <v/>
      </c>
      <c r="Q70" s="220" t="str">
        <f t="shared" si="1"/>
        <v/>
      </c>
    </row>
    <row r="71" spans="10:17">
      <c r="J71" s="136" t="str">
        <f t="shared" si="0"/>
        <v/>
      </c>
      <c r="Q71" s="220" t="str">
        <f t="shared" si="1"/>
        <v/>
      </c>
    </row>
    <row r="72" spans="10:17">
      <c r="J72" s="136" t="str">
        <f t="shared" si="0"/>
        <v/>
      </c>
      <c r="Q72" s="220" t="str">
        <f t="shared" si="1"/>
        <v/>
      </c>
    </row>
    <row r="73" spans="10:17">
      <c r="J73" s="136" t="str">
        <f t="shared" si="0"/>
        <v/>
      </c>
      <c r="Q73" s="220" t="str">
        <f t="shared" si="1"/>
        <v/>
      </c>
    </row>
    <row r="74" spans="10:17">
      <c r="J74" s="136" t="str">
        <f t="shared" si="0"/>
        <v/>
      </c>
      <c r="Q74" s="220" t="str">
        <f t="shared" si="1"/>
        <v/>
      </c>
    </row>
    <row r="75" spans="10:17">
      <c r="J75" s="136" t="str">
        <f t="shared" si="0"/>
        <v/>
      </c>
      <c r="Q75" s="220" t="str">
        <f t="shared" si="1"/>
        <v/>
      </c>
    </row>
    <row r="76" spans="10:17">
      <c r="J76" s="136" t="str">
        <f t="shared" si="0"/>
        <v/>
      </c>
      <c r="Q76" s="220" t="str">
        <f t="shared" si="1"/>
        <v/>
      </c>
    </row>
    <row r="77" spans="10:17">
      <c r="J77" s="136" t="str">
        <f t="shared" si="0"/>
        <v/>
      </c>
      <c r="Q77" s="220" t="str">
        <f t="shared" si="1"/>
        <v/>
      </c>
    </row>
    <row r="78" spans="10:17">
      <c r="J78" s="136" t="str">
        <f t="shared" si="0"/>
        <v/>
      </c>
      <c r="Q78" s="220" t="str">
        <f t="shared" si="1"/>
        <v/>
      </c>
    </row>
    <row r="79" spans="10:17">
      <c r="J79" s="136" t="str">
        <f t="shared" ref="J79:J142" si="2">IF(D79+G79+I79,D79*G79*I79,"")</f>
        <v/>
      </c>
      <c r="Q79" s="220" t="str">
        <f t="shared" ref="Q79:Q142" si="3">IF(N79+O79+P79,N79*O79*P79,"")</f>
        <v/>
      </c>
    </row>
    <row r="80" spans="10:17">
      <c r="J80" s="136" t="str">
        <f t="shared" si="2"/>
        <v/>
      </c>
      <c r="Q80" s="220" t="str">
        <f t="shared" si="3"/>
        <v/>
      </c>
    </row>
    <row r="81" spans="10:17">
      <c r="J81" s="136" t="str">
        <f t="shared" si="2"/>
        <v/>
      </c>
      <c r="Q81" s="220" t="str">
        <f t="shared" si="3"/>
        <v/>
      </c>
    </row>
    <row r="82" spans="10:17">
      <c r="J82" s="136" t="str">
        <f t="shared" si="2"/>
        <v/>
      </c>
      <c r="Q82" s="220" t="str">
        <f t="shared" si="3"/>
        <v/>
      </c>
    </row>
    <row r="83" spans="10:17">
      <c r="J83" s="136" t="str">
        <f t="shared" si="2"/>
        <v/>
      </c>
      <c r="Q83" s="220" t="str">
        <f t="shared" si="3"/>
        <v/>
      </c>
    </row>
    <row r="84" spans="10:17">
      <c r="J84" s="136" t="str">
        <f t="shared" si="2"/>
        <v/>
      </c>
      <c r="Q84" s="220" t="str">
        <f t="shared" si="3"/>
        <v/>
      </c>
    </row>
    <row r="85" spans="10:17">
      <c r="J85" s="136" t="str">
        <f t="shared" si="2"/>
        <v/>
      </c>
      <c r="Q85" s="220" t="str">
        <f t="shared" si="3"/>
        <v/>
      </c>
    </row>
    <row r="86" spans="10:17">
      <c r="J86" s="136" t="str">
        <f t="shared" si="2"/>
        <v/>
      </c>
      <c r="Q86" s="220" t="str">
        <f t="shared" si="3"/>
        <v/>
      </c>
    </row>
    <row r="87" spans="10:17">
      <c r="J87" s="136" t="str">
        <f t="shared" si="2"/>
        <v/>
      </c>
      <c r="Q87" s="220" t="str">
        <f t="shared" si="3"/>
        <v/>
      </c>
    </row>
    <row r="88" spans="10:17">
      <c r="J88" s="136" t="str">
        <f t="shared" si="2"/>
        <v/>
      </c>
      <c r="Q88" s="220" t="str">
        <f t="shared" si="3"/>
        <v/>
      </c>
    </row>
    <row r="89" spans="10:17">
      <c r="J89" s="136" t="str">
        <f t="shared" si="2"/>
        <v/>
      </c>
      <c r="Q89" s="220" t="str">
        <f t="shared" si="3"/>
        <v/>
      </c>
    </row>
    <row r="90" spans="10:17">
      <c r="J90" s="136" t="str">
        <f t="shared" si="2"/>
        <v/>
      </c>
      <c r="Q90" s="220" t="str">
        <f t="shared" si="3"/>
        <v/>
      </c>
    </row>
    <row r="91" spans="10:17">
      <c r="J91" s="136" t="str">
        <f t="shared" si="2"/>
        <v/>
      </c>
      <c r="Q91" s="220" t="str">
        <f t="shared" si="3"/>
        <v/>
      </c>
    </row>
    <row r="92" spans="10:17">
      <c r="J92" s="136" t="str">
        <f t="shared" si="2"/>
        <v/>
      </c>
      <c r="Q92" s="220" t="str">
        <f t="shared" si="3"/>
        <v/>
      </c>
    </row>
    <row r="93" spans="10:17">
      <c r="J93" s="136" t="str">
        <f t="shared" si="2"/>
        <v/>
      </c>
      <c r="Q93" s="220" t="str">
        <f t="shared" si="3"/>
        <v/>
      </c>
    </row>
    <row r="94" spans="10:17">
      <c r="J94" s="136" t="str">
        <f t="shared" si="2"/>
        <v/>
      </c>
      <c r="Q94" s="220" t="str">
        <f t="shared" si="3"/>
        <v/>
      </c>
    </row>
    <row r="95" spans="10:17">
      <c r="J95" s="136" t="str">
        <f t="shared" si="2"/>
        <v/>
      </c>
      <c r="Q95" s="220" t="str">
        <f t="shared" si="3"/>
        <v/>
      </c>
    </row>
    <row r="96" spans="10:17">
      <c r="J96" s="136" t="str">
        <f t="shared" si="2"/>
        <v/>
      </c>
      <c r="Q96" s="220" t="str">
        <f t="shared" si="3"/>
        <v/>
      </c>
    </row>
    <row r="97" spans="10:17">
      <c r="J97" s="136" t="str">
        <f t="shared" si="2"/>
        <v/>
      </c>
      <c r="Q97" s="220" t="str">
        <f t="shared" si="3"/>
        <v/>
      </c>
    </row>
    <row r="98" spans="10:17">
      <c r="J98" s="136" t="str">
        <f t="shared" si="2"/>
        <v/>
      </c>
      <c r="Q98" s="220" t="str">
        <f t="shared" si="3"/>
        <v/>
      </c>
    </row>
    <row r="99" spans="10:17">
      <c r="J99" s="136" t="str">
        <f t="shared" si="2"/>
        <v/>
      </c>
      <c r="Q99" s="220" t="str">
        <f t="shared" si="3"/>
        <v/>
      </c>
    </row>
    <row r="100" spans="10:17">
      <c r="J100" s="136" t="str">
        <f t="shared" si="2"/>
        <v/>
      </c>
      <c r="Q100" s="220" t="str">
        <f t="shared" si="3"/>
        <v/>
      </c>
    </row>
    <row r="101" spans="10:17">
      <c r="J101" s="136" t="str">
        <f t="shared" si="2"/>
        <v/>
      </c>
      <c r="Q101" s="220" t="str">
        <f t="shared" si="3"/>
        <v/>
      </c>
    </row>
    <row r="102" spans="10:17">
      <c r="J102" s="136" t="str">
        <f t="shared" si="2"/>
        <v/>
      </c>
      <c r="Q102" s="220" t="str">
        <f t="shared" si="3"/>
        <v/>
      </c>
    </row>
    <row r="103" spans="10:17">
      <c r="J103" s="136" t="str">
        <f t="shared" si="2"/>
        <v/>
      </c>
      <c r="Q103" s="220" t="str">
        <f t="shared" si="3"/>
        <v/>
      </c>
    </row>
    <row r="104" spans="10:17">
      <c r="J104" s="136" t="str">
        <f t="shared" si="2"/>
        <v/>
      </c>
      <c r="Q104" s="220" t="str">
        <f t="shared" si="3"/>
        <v/>
      </c>
    </row>
    <row r="105" spans="10:17">
      <c r="J105" s="136" t="str">
        <f t="shared" si="2"/>
        <v/>
      </c>
      <c r="Q105" s="220" t="str">
        <f t="shared" si="3"/>
        <v/>
      </c>
    </row>
    <row r="106" spans="10:17">
      <c r="J106" s="136" t="str">
        <f t="shared" si="2"/>
        <v/>
      </c>
      <c r="Q106" s="220" t="str">
        <f t="shared" si="3"/>
        <v/>
      </c>
    </row>
    <row r="107" spans="10:17">
      <c r="J107" s="136" t="str">
        <f t="shared" si="2"/>
        <v/>
      </c>
      <c r="Q107" s="220" t="str">
        <f t="shared" si="3"/>
        <v/>
      </c>
    </row>
    <row r="108" spans="10:17">
      <c r="J108" s="136" t="str">
        <f t="shared" si="2"/>
        <v/>
      </c>
      <c r="Q108" s="220" t="str">
        <f t="shared" si="3"/>
        <v/>
      </c>
    </row>
    <row r="109" spans="10:17">
      <c r="J109" s="136" t="str">
        <f t="shared" si="2"/>
        <v/>
      </c>
      <c r="Q109" s="220" t="str">
        <f t="shared" si="3"/>
        <v/>
      </c>
    </row>
    <row r="110" spans="10:17">
      <c r="J110" s="136" t="str">
        <f t="shared" si="2"/>
        <v/>
      </c>
      <c r="Q110" s="220" t="str">
        <f t="shared" si="3"/>
        <v/>
      </c>
    </row>
    <row r="111" spans="10:17">
      <c r="J111" s="136" t="str">
        <f t="shared" si="2"/>
        <v/>
      </c>
      <c r="Q111" s="220" t="str">
        <f t="shared" si="3"/>
        <v/>
      </c>
    </row>
    <row r="112" spans="10:17">
      <c r="J112" s="136" t="str">
        <f t="shared" si="2"/>
        <v/>
      </c>
      <c r="Q112" s="220" t="str">
        <f t="shared" si="3"/>
        <v/>
      </c>
    </row>
    <row r="113" spans="10:17">
      <c r="J113" s="136" t="str">
        <f t="shared" si="2"/>
        <v/>
      </c>
      <c r="Q113" s="220" t="str">
        <f t="shared" si="3"/>
        <v/>
      </c>
    </row>
    <row r="114" spans="10:17">
      <c r="J114" s="136" t="str">
        <f t="shared" si="2"/>
        <v/>
      </c>
      <c r="Q114" s="220" t="str">
        <f t="shared" si="3"/>
        <v/>
      </c>
    </row>
    <row r="115" spans="10:17">
      <c r="J115" s="136" t="str">
        <f t="shared" si="2"/>
        <v/>
      </c>
      <c r="Q115" s="220" t="str">
        <f t="shared" si="3"/>
        <v/>
      </c>
    </row>
    <row r="116" spans="10:17">
      <c r="J116" s="136" t="str">
        <f t="shared" si="2"/>
        <v/>
      </c>
      <c r="Q116" s="220" t="str">
        <f t="shared" si="3"/>
        <v/>
      </c>
    </row>
    <row r="117" spans="10:17">
      <c r="J117" s="136" t="str">
        <f t="shared" si="2"/>
        <v/>
      </c>
      <c r="Q117" s="220" t="str">
        <f t="shared" si="3"/>
        <v/>
      </c>
    </row>
    <row r="118" spans="10:17">
      <c r="J118" s="136" t="str">
        <f t="shared" si="2"/>
        <v/>
      </c>
      <c r="Q118" s="220" t="str">
        <f t="shared" si="3"/>
        <v/>
      </c>
    </row>
    <row r="119" spans="10:17">
      <c r="J119" s="136" t="str">
        <f t="shared" si="2"/>
        <v/>
      </c>
      <c r="Q119" s="220" t="str">
        <f t="shared" si="3"/>
        <v/>
      </c>
    </row>
    <row r="120" spans="10:17">
      <c r="J120" s="136" t="str">
        <f t="shared" si="2"/>
        <v/>
      </c>
      <c r="Q120" s="220" t="str">
        <f t="shared" si="3"/>
        <v/>
      </c>
    </row>
    <row r="121" spans="10:17">
      <c r="J121" s="136" t="str">
        <f t="shared" si="2"/>
        <v/>
      </c>
      <c r="Q121" s="220" t="str">
        <f t="shared" si="3"/>
        <v/>
      </c>
    </row>
    <row r="122" spans="10:17">
      <c r="J122" s="136" t="str">
        <f t="shared" si="2"/>
        <v/>
      </c>
      <c r="Q122" s="220" t="str">
        <f t="shared" si="3"/>
        <v/>
      </c>
    </row>
    <row r="123" spans="10:17">
      <c r="J123" s="136" t="str">
        <f t="shared" si="2"/>
        <v/>
      </c>
      <c r="Q123" s="220" t="str">
        <f t="shared" si="3"/>
        <v/>
      </c>
    </row>
    <row r="124" spans="10:17">
      <c r="J124" s="136" t="str">
        <f t="shared" si="2"/>
        <v/>
      </c>
      <c r="Q124" s="220" t="str">
        <f t="shared" si="3"/>
        <v/>
      </c>
    </row>
    <row r="125" spans="10:17">
      <c r="J125" s="136" t="str">
        <f t="shared" si="2"/>
        <v/>
      </c>
      <c r="Q125" s="220" t="str">
        <f t="shared" si="3"/>
        <v/>
      </c>
    </row>
    <row r="126" spans="10:17">
      <c r="J126" s="136" t="str">
        <f t="shared" si="2"/>
        <v/>
      </c>
      <c r="Q126" s="220" t="str">
        <f t="shared" si="3"/>
        <v/>
      </c>
    </row>
    <row r="127" spans="10:17">
      <c r="J127" s="136" t="str">
        <f t="shared" si="2"/>
        <v/>
      </c>
      <c r="Q127" s="220" t="str">
        <f t="shared" si="3"/>
        <v/>
      </c>
    </row>
    <row r="128" spans="10:17">
      <c r="J128" s="136" t="str">
        <f t="shared" si="2"/>
        <v/>
      </c>
      <c r="Q128" s="220" t="str">
        <f t="shared" si="3"/>
        <v/>
      </c>
    </row>
    <row r="129" spans="10:17">
      <c r="J129" s="136" t="str">
        <f t="shared" si="2"/>
        <v/>
      </c>
      <c r="Q129" s="220" t="str">
        <f t="shared" si="3"/>
        <v/>
      </c>
    </row>
    <row r="130" spans="10:17">
      <c r="J130" s="136" t="str">
        <f t="shared" si="2"/>
        <v/>
      </c>
      <c r="Q130" s="220" t="str">
        <f t="shared" si="3"/>
        <v/>
      </c>
    </row>
    <row r="131" spans="10:17">
      <c r="J131" s="136" t="str">
        <f t="shared" si="2"/>
        <v/>
      </c>
      <c r="Q131" s="220" t="str">
        <f t="shared" si="3"/>
        <v/>
      </c>
    </row>
    <row r="132" spans="10:17">
      <c r="J132" s="136" t="str">
        <f t="shared" si="2"/>
        <v/>
      </c>
      <c r="Q132" s="220" t="str">
        <f t="shared" si="3"/>
        <v/>
      </c>
    </row>
    <row r="133" spans="10:17">
      <c r="J133" s="136" t="str">
        <f t="shared" si="2"/>
        <v/>
      </c>
      <c r="Q133" s="220" t="str">
        <f t="shared" si="3"/>
        <v/>
      </c>
    </row>
    <row r="134" spans="10:17">
      <c r="J134" s="136" t="str">
        <f t="shared" si="2"/>
        <v/>
      </c>
      <c r="Q134" s="220" t="str">
        <f t="shared" si="3"/>
        <v/>
      </c>
    </row>
    <row r="135" spans="10:17">
      <c r="J135" s="136" t="str">
        <f t="shared" si="2"/>
        <v/>
      </c>
      <c r="Q135" s="220" t="str">
        <f t="shared" si="3"/>
        <v/>
      </c>
    </row>
    <row r="136" spans="10:17">
      <c r="J136" s="136" t="str">
        <f t="shared" si="2"/>
        <v/>
      </c>
      <c r="Q136" s="220" t="str">
        <f t="shared" si="3"/>
        <v/>
      </c>
    </row>
    <row r="137" spans="10:17">
      <c r="J137" s="136" t="str">
        <f t="shared" si="2"/>
        <v/>
      </c>
      <c r="Q137" s="220" t="str">
        <f t="shared" si="3"/>
        <v/>
      </c>
    </row>
    <row r="138" spans="10:17">
      <c r="J138" s="136" t="str">
        <f t="shared" si="2"/>
        <v/>
      </c>
      <c r="Q138" s="220" t="str">
        <f t="shared" si="3"/>
        <v/>
      </c>
    </row>
    <row r="139" spans="10:17">
      <c r="J139" s="136" t="str">
        <f t="shared" si="2"/>
        <v/>
      </c>
      <c r="Q139" s="220" t="str">
        <f t="shared" si="3"/>
        <v/>
      </c>
    </row>
    <row r="140" spans="10:17">
      <c r="J140" s="136" t="str">
        <f t="shared" si="2"/>
        <v/>
      </c>
      <c r="Q140" s="220" t="str">
        <f t="shared" si="3"/>
        <v/>
      </c>
    </row>
    <row r="141" spans="10:17">
      <c r="J141" s="136" t="str">
        <f t="shared" si="2"/>
        <v/>
      </c>
      <c r="Q141" s="220" t="str">
        <f t="shared" si="3"/>
        <v/>
      </c>
    </row>
    <row r="142" spans="10:17">
      <c r="J142" s="136" t="str">
        <f t="shared" si="2"/>
        <v/>
      </c>
      <c r="Q142" s="220" t="str">
        <f t="shared" si="3"/>
        <v/>
      </c>
    </row>
    <row r="143" spans="10:17">
      <c r="J143" s="136" t="str">
        <f t="shared" ref="J143:J206" si="4">IF(D143+G143+I143,D143*G143*I143,"")</f>
        <v/>
      </c>
      <c r="Q143" s="220" t="str">
        <f t="shared" ref="Q143:Q206" si="5">IF(N143+O143+P143,N143*O143*P143,"")</f>
        <v/>
      </c>
    </row>
    <row r="144" spans="10:17">
      <c r="J144" s="136" t="str">
        <f t="shared" si="4"/>
        <v/>
      </c>
      <c r="Q144" s="220" t="str">
        <f t="shared" si="5"/>
        <v/>
      </c>
    </row>
    <row r="145" spans="10:17">
      <c r="J145" s="136" t="str">
        <f t="shared" si="4"/>
        <v/>
      </c>
      <c r="Q145" s="220" t="str">
        <f t="shared" si="5"/>
        <v/>
      </c>
    </row>
    <row r="146" spans="10:17">
      <c r="J146" s="136" t="str">
        <f t="shared" si="4"/>
        <v/>
      </c>
      <c r="Q146" s="220" t="str">
        <f t="shared" si="5"/>
        <v/>
      </c>
    </row>
    <row r="147" spans="10:17">
      <c r="J147" s="136" t="str">
        <f t="shared" si="4"/>
        <v/>
      </c>
      <c r="Q147" s="220" t="str">
        <f t="shared" si="5"/>
        <v/>
      </c>
    </row>
    <row r="148" spans="10:17">
      <c r="J148" s="136" t="str">
        <f t="shared" si="4"/>
        <v/>
      </c>
      <c r="Q148" s="220" t="str">
        <f t="shared" si="5"/>
        <v/>
      </c>
    </row>
    <row r="149" spans="10:17">
      <c r="J149" s="136" t="str">
        <f t="shared" si="4"/>
        <v/>
      </c>
      <c r="Q149" s="220" t="str">
        <f t="shared" si="5"/>
        <v/>
      </c>
    </row>
    <row r="150" spans="10:17">
      <c r="J150" s="136" t="str">
        <f t="shared" si="4"/>
        <v/>
      </c>
      <c r="Q150" s="220" t="str">
        <f t="shared" si="5"/>
        <v/>
      </c>
    </row>
    <row r="151" spans="10:17">
      <c r="J151" s="136" t="str">
        <f t="shared" si="4"/>
        <v/>
      </c>
      <c r="Q151" s="220" t="str">
        <f t="shared" si="5"/>
        <v/>
      </c>
    </row>
    <row r="152" spans="10:17">
      <c r="J152" s="136" t="str">
        <f t="shared" si="4"/>
        <v/>
      </c>
      <c r="Q152" s="220" t="str">
        <f t="shared" si="5"/>
        <v/>
      </c>
    </row>
    <row r="153" spans="10:17">
      <c r="J153" s="136" t="str">
        <f t="shared" si="4"/>
        <v/>
      </c>
      <c r="Q153" s="220" t="str">
        <f t="shared" si="5"/>
        <v/>
      </c>
    </row>
    <row r="154" spans="10:17">
      <c r="J154" s="136" t="str">
        <f t="shared" si="4"/>
        <v/>
      </c>
      <c r="Q154" s="220" t="str">
        <f t="shared" si="5"/>
        <v/>
      </c>
    </row>
    <row r="155" spans="10:17">
      <c r="J155" s="136" t="str">
        <f t="shared" si="4"/>
        <v/>
      </c>
      <c r="Q155" s="220" t="str">
        <f t="shared" si="5"/>
        <v/>
      </c>
    </row>
    <row r="156" spans="10:17">
      <c r="J156" s="136" t="str">
        <f t="shared" si="4"/>
        <v/>
      </c>
      <c r="Q156" s="220" t="str">
        <f t="shared" si="5"/>
        <v/>
      </c>
    </row>
    <row r="157" spans="10:17">
      <c r="J157" s="136" t="str">
        <f t="shared" si="4"/>
        <v/>
      </c>
      <c r="Q157" s="220" t="str">
        <f t="shared" si="5"/>
        <v/>
      </c>
    </row>
    <row r="158" spans="10:17">
      <c r="J158" s="136" t="str">
        <f t="shared" si="4"/>
        <v/>
      </c>
      <c r="Q158" s="220" t="str">
        <f t="shared" si="5"/>
        <v/>
      </c>
    </row>
    <row r="159" spans="10:17">
      <c r="J159" s="136" t="str">
        <f t="shared" si="4"/>
        <v/>
      </c>
      <c r="Q159" s="220" t="str">
        <f t="shared" si="5"/>
        <v/>
      </c>
    </row>
    <row r="160" spans="10:17">
      <c r="J160" s="136" t="str">
        <f t="shared" si="4"/>
        <v/>
      </c>
      <c r="Q160" s="220" t="str">
        <f t="shared" si="5"/>
        <v/>
      </c>
    </row>
    <row r="161" spans="10:17">
      <c r="J161" s="136" t="str">
        <f t="shared" si="4"/>
        <v/>
      </c>
      <c r="Q161" s="220" t="str">
        <f t="shared" si="5"/>
        <v/>
      </c>
    </row>
    <row r="162" spans="10:17">
      <c r="J162" s="136" t="str">
        <f t="shared" si="4"/>
        <v/>
      </c>
      <c r="Q162" s="220" t="str">
        <f t="shared" si="5"/>
        <v/>
      </c>
    </row>
    <row r="163" spans="10:17">
      <c r="J163" s="136" t="str">
        <f t="shared" si="4"/>
        <v/>
      </c>
      <c r="Q163" s="220" t="str">
        <f t="shared" si="5"/>
        <v/>
      </c>
    </row>
    <row r="164" spans="10:17">
      <c r="J164" s="136" t="str">
        <f t="shared" si="4"/>
        <v/>
      </c>
      <c r="Q164" s="220" t="str">
        <f t="shared" si="5"/>
        <v/>
      </c>
    </row>
    <row r="165" spans="10:17">
      <c r="J165" s="136" t="str">
        <f t="shared" si="4"/>
        <v/>
      </c>
      <c r="Q165" s="220" t="str">
        <f t="shared" si="5"/>
        <v/>
      </c>
    </row>
    <row r="166" spans="10:17">
      <c r="J166" s="136" t="str">
        <f t="shared" si="4"/>
        <v/>
      </c>
      <c r="Q166" s="220" t="str">
        <f t="shared" si="5"/>
        <v/>
      </c>
    </row>
    <row r="167" spans="10:17">
      <c r="J167" s="136" t="str">
        <f t="shared" si="4"/>
        <v/>
      </c>
      <c r="Q167" s="220" t="str">
        <f t="shared" si="5"/>
        <v/>
      </c>
    </row>
    <row r="168" spans="10:17">
      <c r="J168" s="136" t="str">
        <f t="shared" si="4"/>
        <v/>
      </c>
      <c r="Q168" s="220" t="str">
        <f t="shared" si="5"/>
        <v/>
      </c>
    </row>
    <row r="169" spans="10:17">
      <c r="J169" s="136" t="str">
        <f t="shared" si="4"/>
        <v/>
      </c>
      <c r="Q169" s="220" t="str">
        <f t="shared" si="5"/>
        <v/>
      </c>
    </row>
    <row r="170" spans="10:17">
      <c r="J170" s="136" t="str">
        <f t="shared" si="4"/>
        <v/>
      </c>
      <c r="Q170" s="220" t="str">
        <f t="shared" si="5"/>
        <v/>
      </c>
    </row>
    <row r="171" spans="10:17">
      <c r="J171" s="136" t="str">
        <f t="shared" si="4"/>
        <v/>
      </c>
      <c r="Q171" s="220" t="str">
        <f t="shared" si="5"/>
        <v/>
      </c>
    </row>
    <row r="172" spans="10:17">
      <c r="J172" s="136" t="str">
        <f t="shared" si="4"/>
        <v/>
      </c>
      <c r="Q172" s="220" t="str">
        <f t="shared" si="5"/>
        <v/>
      </c>
    </row>
    <row r="173" spans="10:17">
      <c r="J173" s="136" t="str">
        <f t="shared" si="4"/>
        <v/>
      </c>
      <c r="Q173" s="220" t="str">
        <f t="shared" si="5"/>
        <v/>
      </c>
    </row>
    <row r="174" spans="10:17">
      <c r="J174" s="136" t="str">
        <f t="shared" si="4"/>
        <v/>
      </c>
      <c r="Q174" s="220" t="str">
        <f t="shared" si="5"/>
        <v/>
      </c>
    </row>
    <row r="175" spans="10:17">
      <c r="J175" s="136" t="str">
        <f t="shared" si="4"/>
        <v/>
      </c>
      <c r="Q175" s="220" t="str">
        <f t="shared" si="5"/>
        <v/>
      </c>
    </row>
    <row r="176" spans="10:17">
      <c r="J176" s="136" t="str">
        <f t="shared" si="4"/>
        <v/>
      </c>
      <c r="Q176" s="220" t="str">
        <f t="shared" si="5"/>
        <v/>
      </c>
    </row>
    <row r="177" spans="10:17">
      <c r="J177" s="136" t="str">
        <f t="shared" si="4"/>
        <v/>
      </c>
      <c r="Q177" s="220" t="str">
        <f t="shared" si="5"/>
        <v/>
      </c>
    </row>
    <row r="178" spans="10:17">
      <c r="J178" s="136" t="str">
        <f t="shared" si="4"/>
        <v/>
      </c>
      <c r="Q178" s="220" t="str">
        <f t="shared" si="5"/>
        <v/>
      </c>
    </row>
    <row r="179" spans="10:17">
      <c r="J179" s="136" t="str">
        <f t="shared" si="4"/>
        <v/>
      </c>
      <c r="Q179" s="220" t="str">
        <f t="shared" si="5"/>
        <v/>
      </c>
    </row>
    <row r="180" spans="10:17">
      <c r="J180" s="136" t="str">
        <f t="shared" si="4"/>
        <v/>
      </c>
      <c r="Q180" s="220" t="str">
        <f t="shared" si="5"/>
        <v/>
      </c>
    </row>
    <row r="181" spans="10:17">
      <c r="J181" s="136" t="str">
        <f t="shared" si="4"/>
        <v/>
      </c>
      <c r="Q181" s="220" t="str">
        <f t="shared" si="5"/>
        <v/>
      </c>
    </row>
    <row r="182" spans="10:17">
      <c r="J182" s="136" t="str">
        <f t="shared" si="4"/>
        <v/>
      </c>
      <c r="Q182" s="220" t="str">
        <f t="shared" si="5"/>
        <v/>
      </c>
    </row>
    <row r="183" spans="10:17">
      <c r="J183" s="136" t="str">
        <f t="shared" si="4"/>
        <v/>
      </c>
      <c r="Q183" s="220" t="str">
        <f t="shared" si="5"/>
        <v/>
      </c>
    </row>
    <row r="184" spans="10:17">
      <c r="J184" s="136" t="str">
        <f t="shared" si="4"/>
        <v/>
      </c>
      <c r="Q184" s="220" t="str">
        <f t="shared" si="5"/>
        <v/>
      </c>
    </row>
    <row r="185" spans="10:17">
      <c r="J185" s="136" t="str">
        <f t="shared" si="4"/>
        <v/>
      </c>
      <c r="Q185" s="220" t="str">
        <f t="shared" si="5"/>
        <v/>
      </c>
    </row>
    <row r="186" spans="10:17">
      <c r="J186" s="136" t="str">
        <f t="shared" si="4"/>
        <v/>
      </c>
      <c r="Q186" s="220" t="str">
        <f t="shared" si="5"/>
        <v/>
      </c>
    </row>
    <row r="187" spans="10:17">
      <c r="J187" s="136" t="str">
        <f t="shared" si="4"/>
        <v/>
      </c>
      <c r="Q187" s="220" t="str">
        <f t="shared" si="5"/>
        <v/>
      </c>
    </row>
    <row r="188" spans="10:17">
      <c r="J188" s="136" t="str">
        <f t="shared" si="4"/>
        <v/>
      </c>
      <c r="Q188" s="220" t="str">
        <f t="shared" si="5"/>
        <v/>
      </c>
    </row>
    <row r="189" spans="10:17">
      <c r="J189" s="136" t="str">
        <f t="shared" si="4"/>
        <v/>
      </c>
      <c r="Q189" s="220" t="str">
        <f t="shared" si="5"/>
        <v/>
      </c>
    </row>
    <row r="190" spans="10:17">
      <c r="J190" s="136" t="str">
        <f t="shared" si="4"/>
        <v/>
      </c>
      <c r="Q190" s="220" t="str">
        <f t="shared" si="5"/>
        <v/>
      </c>
    </row>
    <row r="191" spans="10:17">
      <c r="J191" s="136" t="str">
        <f t="shared" si="4"/>
        <v/>
      </c>
      <c r="Q191" s="220" t="str">
        <f t="shared" si="5"/>
        <v/>
      </c>
    </row>
    <row r="192" spans="10:17">
      <c r="J192" s="136" t="str">
        <f t="shared" si="4"/>
        <v/>
      </c>
      <c r="Q192" s="220" t="str">
        <f t="shared" si="5"/>
        <v/>
      </c>
    </row>
    <row r="193" spans="10:17">
      <c r="J193" s="136" t="str">
        <f t="shared" si="4"/>
        <v/>
      </c>
      <c r="Q193" s="220" t="str">
        <f t="shared" si="5"/>
        <v/>
      </c>
    </row>
    <row r="194" spans="10:17">
      <c r="J194" s="136" t="str">
        <f t="shared" si="4"/>
        <v/>
      </c>
      <c r="Q194" s="220" t="str">
        <f t="shared" si="5"/>
        <v/>
      </c>
    </row>
    <row r="195" spans="10:17">
      <c r="J195" s="136" t="str">
        <f t="shared" si="4"/>
        <v/>
      </c>
      <c r="Q195" s="220" t="str">
        <f t="shared" si="5"/>
        <v/>
      </c>
    </row>
    <row r="196" spans="10:17">
      <c r="J196" s="136" t="str">
        <f t="shared" si="4"/>
        <v/>
      </c>
      <c r="Q196" s="220" t="str">
        <f t="shared" si="5"/>
        <v/>
      </c>
    </row>
    <row r="197" spans="10:17">
      <c r="J197" s="136" t="str">
        <f t="shared" si="4"/>
        <v/>
      </c>
      <c r="Q197" s="220" t="str">
        <f t="shared" si="5"/>
        <v/>
      </c>
    </row>
    <row r="198" spans="10:17">
      <c r="J198" s="136" t="str">
        <f t="shared" si="4"/>
        <v/>
      </c>
      <c r="Q198" s="220" t="str">
        <f t="shared" si="5"/>
        <v/>
      </c>
    </row>
    <row r="199" spans="10:17">
      <c r="J199" s="136" t="str">
        <f t="shared" si="4"/>
        <v/>
      </c>
      <c r="Q199" s="220" t="str">
        <f t="shared" si="5"/>
        <v/>
      </c>
    </row>
    <row r="200" spans="10:17">
      <c r="J200" s="136" t="str">
        <f t="shared" si="4"/>
        <v/>
      </c>
      <c r="Q200" s="220" t="str">
        <f t="shared" si="5"/>
        <v/>
      </c>
    </row>
    <row r="201" spans="10:17">
      <c r="J201" s="136" t="str">
        <f t="shared" si="4"/>
        <v/>
      </c>
      <c r="Q201" s="220" t="str">
        <f t="shared" si="5"/>
        <v/>
      </c>
    </row>
    <row r="202" spans="10:17">
      <c r="J202" s="136" t="str">
        <f t="shared" si="4"/>
        <v/>
      </c>
      <c r="Q202" s="220" t="str">
        <f t="shared" si="5"/>
        <v/>
      </c>
    </row>
    <row r="203" spans="10:17">
      <c r="J203" s="136" t="str">
        <f t="shared" si="4"/>
        <v/>
      </c>
      <c r="Q203" s="220" t="str">
        <f t="shared" si="5"/>
        <v/>
      </c>
    </row>
    <row r="204" spans="10:17">
      <c r="J204" s="136" t="str">
        <f t="shared" si="4"/>
        <v/>
      </c>
      <c r="Q204" s="220" t="str">
        <f t="shared" si="5"/>
        <v/>
      </c>
    </row>
    <row r="205" spans="10:17">
      <c r="J205" s="136" t="str">
        <f t="shared" si="4"/>
        <v/>
      </c>
      <c r="Q205" s="220" t="str">
        <f t="shared" si="5"/>
        <v/>
      </c>
    </row>
    <row r="206" spans="10:17">
      <c r="J206" s="136" t="str">
        <f t="shared" si="4"/>
        <v/>
      </c>
      <c r="Q206" s="220" t="str">
        <f t="shared" si="5"/>
        <v/>
      </c>
    </row>
    <row r="207" spans="10:17">
      <c r="J207" s="136" t="str">
        <f t="shared" ref="J207:J270" si="6">IF(D207+G207+I207,D207*G207*I207,"")</f>
        <v/>
      </c>
      <c r="Q207" s="220" t="str">
        <f t="shared" ref="Q207:Q270" si="7">IF(N207+O207+P207,N207*O207*P207,"")</f>
        <v/>
      </c>
    </row>
    <row r="208" spans="10:17">
      <c r="J208" s="136" t="str">
        <f t="shared" si="6"/>
        <v/>
      </c>
      <c r="Q208" s="220" t="str">
        <f t="shared" si="7"/>
        <v/>
      </c>
    </row>
    <row r="209" spans="10:17">
      <c r="J209" s="136" t="str">
        <f t="shared" si="6"/>
        <v/>
      </c>
      <c r="Q209" s="220" t="str">
        <f t="shared" si="7"/>
        <v/>
      </c>
    </row>
    <row r="210" spans="10:17">
      <c r="J210" s="136" t="str">
        <f t="shared" si="6"/>
        <v/>
      </c>
      <c r="Q210" s="220" t="str">
        <f t="shared" si="7"/>
        <v/>
      </c>
    </row>
    <row r="211" spans="10:17">
      <c r="J211" s="136" t="str">
        <f t="shared" si="6"/>
        <v/>
      </c>
      <c r="Q211" s="220" t="str">
        <f t="shared" si="7"/>
        <v/>
      </c>
    </row>
    <row r="212" spans="10:17">
      <c r="J212" s="136" t="str">
        <f t="shared" si="6"/>
        <v/>
      </c>
      <c r="Q212" s="220" t="str">
        <f t="shared" si="7"/>
        <v/>
      </c>
    </row>
    <row r="213" spans="10:17">
      <c r="J213" s="136" t="str">
        <f t="shared" si="6"/>
        <v/>
      </c>
      <c r="Q213" s="220" t="str">
        <f t="shared" si="7"/>
        <v/>
      </c>
    </row>
    <row r="214" spans="10:17">
      <c r="J214" s="136" t="str">
        <f t="shared" si="6"/>
        <v/>
      </c>
      <c r="Q214" s="220" t="str">
        <f t="shared" si="7"/>
        <v/>
      </c>
    </row>
    <row r="215" spans="10:17">
      <c r="J215" s="136" t="str">
        <f t="shared" si="6"/>
        <v/>
      </c>
      <c r="Q215" s="220" t="str">
        <f t="shared" si="7"/>
        <v/>
      </c>
    </row>
    <row r="216" spans="10:17">
      <c r="J216" s="136" t="str">
        <f t="shared" si="6"/>
        <v/>
      </c>
      <c r="Q216" s="220" t="str">
        <f t="shared" si="7"/>
        <v/>
      </c>
    </row>
    <row r="217" spans="10:17">
      <c r="J217" s="136" t="str">
        <f t="shared" si="6"/>
        <v/>
      </c>
      <c r="Q217" s="220" t="str">
        <f t="shared" si="7"/>
        <v/>
      </c>
    </row>
    <row r="218" spans="10:17">
      <c r="J218" s="136" t="str">
        <f t="shared" si="6"/>
        <v/>
      </c>
      <c r="Q218" s="220" t="str">
        <f t="shared" si="7"/>
        <v/>
      </c>
    </row>
    <row r="219" spans="10:17">
      <c r="J219" s="136" t="str">
        <f t="shared" si="6"/>
        <v/>
      </c>
      <c r="Q219" s="220" t="str">
        <f t="shared" si="7"/>
        <v/>
      </c>
    </row>
    <row r="220" spans="10:17">
      <c r="J220" s="136" t="str">
        <f t="shared" si="6"/>
        <v/>
      </c>
      <c r="Q220" s="220" t="str">
        <f t="shared" si="7"/>
        <v/>
      </c>
    </row>
    <row r="221" spans="10:17">
      <c r="J221" s="136" t="str">
        <f t="shared" si="6"/>
        <v/>
      </c>
      <c r="Q221" s="220" t="str">
        <f t="shared" si="7"/>
        <v/>
      </c>
    </row>
    <row r="222" spans="10:17">
      <c r="J222" s="136" t="str">
        <f t="shared" si="6"/>
        <v/>
      </c>
      <c r="Q222" s="220" t="str">
        <f t="shared" si="7"/>
        <v/>
      </c>
    </row>
    <row r="223" spans="10:17">
      <c r="J223" s="136" t="str">
        <f t="shared" si="6"/>
        <v/>
      </c>
      <c r="Q223" s="220" t="str">
        <f t="shared" si="7"/>
        <v/>
      </c>
    </row>
    <row r="224" spans="10:17">
      <c r="J224" s="136" t="str">
        <f t="shared" si="6"/>
        <v/>
      </c>
      <c r="Q224" s="220" t="str">
        <f t="shared" si="7"/>
        <v/>
      </c>
    </row>
    <row r="225" spans="10:17">
      <c r="J225" s="136" t="str">
        <f t="shared" si="6"/>
        <v/>
      </c>
      <c r="Q225" s="220" t="str">
        <f t="shared" si="7"/>
        <v/>
      </c>
    </row>
    <row r="226" spans="10:17">
      <c r="J226" s="136" t="str">
        <f t="shared" si="6"/>
        <v/>
      </c>
      <c r="Q226" s="220" t="str">
        <f t="shared" si="7"/>
        <v/>
      </c>
    </row>
    <row r="227" spans="10:17">
      <c r="J227" s="136" t="str">
        <f t="shared" si="6"/>
        <v/>
      </c>
      <c r="Q227" s="220" t="str">
        <f t="shared" si="7"/>
        <v/>
      </c>
    </row>
    <row r="228" spans="10:17">
      <c r="J228" s="136" t="str">
        <f t="shared" si="6"/>
        <v/>
      </c>
      <c r="Q228" s="220" t="str">
        <f t="shared" si="7"/>
        <v/>
      </c>
    </row>
    <row r="229" spans="10:17">
      <c r="J229" s="136" t="str">
        <f t="shared" si="6"/>
        <v/>
      </c>
      <c r="Q229" s="220" t="str">
        <f t="shared" si="7"/>
        <v/>
      </c>
    </row>
    <row r="230" spans="10:17">
      <c r="J230" s="136" t="str">
        <f t="shared" si="6"/>
        <v/>
      </c>
      <c r="Q230" s="220" t="str">
        <f t="shared" si="7"/>
        <v/>
      </c>
    </row>
    <row r="231" spans="10:17">
      <c r="J231" s="136" t="str">
        <f t="shared" si="6"/>
        <v/>
      </c>
      <c r="Q231" s="220" t="str">
        <f t="shared" si="7"/>
        <v/>
      </c>
    </row>
    <row r="232" spans="10:17">
      <c r="J232" s="136" t="str">
        <f t="shared" si="6"/>
        <v/>
      </c>
      <c r="Q232" s="220" t="str">
        <f t="shared" si="7"/>
        <v/>
      </c>
    </row>
    <row r="233" spans="10:17">
      <c r="J233" s="136" t="str">
        <f t="shared" si="6"/>
        <v/>
      </c>
      <c r="Q233" s="220" t="str">
        <f t="shared" si="7"/>
        <v/>
      </c>
    </row>
    <row r="234" spans="10:17">
      <c r="J234" s="136" t="str">
        <f t="shared" si="6"/>
        <v/>
      </c>
      <c r="Q234" s="220" t="str">
        <f t="shared" si="7"/>
        <v/>
      </c>
    </row>
    <row r="235" spans="10:17">
      <c r="J235" s="136" t="str">
        <f t="shared" si="6"/>
        <v/>
      </c>
      <c r="Q235" s="220" t="str">
        <f t="shared" si="7"/>
        <v/>
      </c>
    </row>
    <row r="236" spans="10:17">
      <c r="J236" s="136" t="str">
        <f t="shared" si="6"/>
        <v/>
      </c>
      <c r="Q236" s="220" t="str">
        <f t="shared" si="7"/>
        <v/>
      </c>
    </row>
    <row r="237" spans="10:17">
      <c r="J237" s="136" t="str">
        <f t="shared" si="6"/>
        <v/>
      </c>
      <c r="Q237" s="220" t="str">
        <f t="shared" si="7"/>
        <v/>
      </c>
    </row>
    <row r="238" spans="10:17">
      <c r="J238" s="136" t="str">
        <f t="shared" si="6"/>
        <v/>
      </c>
      <c r="Q238" s="220" t="str">
        <f t="shared" si="7"/>
        <v/>
      </c>
    </row>
    <row r="239" spans="10:17">
      <c r="J239" s="136" t="str">
        <f t="shared" si="6"/>
        <v/>
      </c>
      <c r="Q239" s="220" t="str">
        <f t="shared" si="7"/>
        <v/>
      </c>
    </row>
    <row r="240" spans="10:17">
      <c r="J240" s="136" t="str">
        <f t="shared" si="6"/>
        <v/>
      </c>
      <c r="Q240" s="220" t="str">
        <f t="shared" si="7"/>
        <v/>
      </c>
    </row>
    <row r="241" spans="10:17">
      <c r="J241" s="136" t="str">
        <f t="shared" si="6"/>
        <v/>
      </c>
      <c r="Q241" s="220" t="str">
        <f t="shared" si="7"/>
        <v/>
      </c>
    </row>
    <row r="242" spans="10:17">
      <c r="J242" s="136" t="str">
        <f t="shared" si="6"/>
        <v/>
      </c>
      <c r="Q242" s="220" t="str">
        <f t="shared" si="7"/>
        <v/>
      </c>
    </row>
    <row r="243" spans="10:17">
      <c r="J243" s="136" t="str">
        <f t="shared" si="6"/>
        <v/>
      </c>
      <c r="Q243" s="220" t="str">
        <f t="shared" si="7"/>
        <v/>
      </c>
    </row>
    <row r="244" spans="10:17">
      <c r="J244" s="136" t="str">
        <f t="shared" si="6"/>
        <v/>
      </c>
      <c r="Q244" s="220" t="str">
        <f t="shared" si="7"/>
        <v/>
      </c>
    </row>
    <row r="245" spans="10:17">
      <c r="J245" s="136" t="str">
        <f t="shared" si="6"/>
        <v/>
      </c>
      <c r="Q245" s="220" t="str">
        <f t="shared" si="7"/>
        <v/>
      </c>
    </row>
    <row r="246" spans="10:17">
      <c r="J246" s="136" t="str">
        <f t="shared" si="6"/>
        <v/>
      </c>
      <c r="Q246" s="220" t="str">
        <f t="shared" si="7"/>
        <v/>
      </c>
    </row>
    <row r="247" spans="10:17">
      <c r="J247" s="136" t="str">
        <f t="shared" si="6"/>
        <v/>
      </c>
      <c r="Q247" s="220" t="str">
        <f t="shared" si="7"/>
        <v/>
      </c>
    </row>
    <row r="248" spans="10:17">
      <c r="J248" s="136" t="str">
        <f t="shared" si="6"/>
        <v/>
      </c>
      <c r="Q248" s="220" t="str">
        <f t="shared" si="7"/>
        <v/>
      </c>
    </row>
    <row r="249" spans="10:17">
      <c r="J249" s="136" t="str">
        <f t="shared" si="6"/>
        <v/>
      </c>
      <c r="Q249" s="220" t="str">
        <f t="shared" si="7"/>
        <v/>
      </c>
    </row>
    <row r="250" spans="10:17">
      <c r="J250" s="136" t="str">
        <f t="shared" si="6"/>
        <v/>
      </c>
      <c r="Q250" s="220" t="str">
        <f t="shared" si="7"/>
        <v/>
      </c>
    </row>
    <row r="251" spans="10:17">
      <c r="J251" s="136" t="str">
        <f t="shared" si="6"/>
        <v/>
      </c>
      <c r="Q251" s="220" t="str">
        <f t="shared" si="7"/>
        <v/>
      </c>
    </row>
    <row r="252" spans="10:17">
      <c r="J252" s="136" t="str">
        <f t="shared" si="6"/>
        <v/>
      </c>
      <c r="Q252" s="220" t="str">
        <f t="shared" si="7"/>
        <v/>
      </c>
    </row>
    <row r="253" spans="10:17">
      <c r="J253" s="136" t="str">
        <f t="shared" si="6"/>
        <v/>
      </c>
      <c r="Q253" s="220" t="str">
        <f t="shared" si="7"/>
        <v/>
      </c>
    </row>
    <row r="254" spans="10:17">
      <c r="J254" s="136" t="str">
        <f t="shared" si="6"/>
        <v/>
      </c>
      <c r="Q254" s="220" t="str">
        <f t="shared" si="7"/>
        <v/>
      </c>
    </row>
    <row r="255" spans="10:17">
      <c r="J255" s="136" t="str">
        <f t="shared" si="6"/>
        <v/>
      </c>
      <c r="Q255" s="220" t="str">
        <f t="shared" si="7"/>
        <v/>
      </c>
    </row>
    <row r="256" spans="10:17">
      <c r="J256" s="136" t="str">
        <f t="shared" si="6"/>
        <v/>
      </c>
      <c r="Q256" s="220" t="str">
        <f t="shared" si="7"/>
        <v/>
      </c>
    </row>
    <row r="257" spans="10:17">
      <c r="J257" s="136" t="str">
        <f t="shared" si="6"/>
        <v/>
      </c>
      <c r="Q257" s="220" t="str">
        <f t="shared" si="7"/>
        <v/>
      </c>
    </row>
    <row r="258" spans="10:17">
      <c r="J258" s="136" t="str">
        <f t="shared" si="6"/>
        <v/>
      </c>
      <c r="Q258" s="220" t="str">
        <f t="shared" si="7"/>
        <v/>
      </c>
    </row>
    <row r="259" spans="10:17">
      <c r="J259" s="136" t="str">
        <f t="shared" si="6"/>
        <v/>
      </c>
      <c r="Q259" s="220" t="str">
        <f t="shared" si="7"/>
        <v/>
      </c>
    </row>
    <row r="260" spans="10:17">
      <c r="J260" s="136" t="str">
        <f t="shared" si="6"/>
        <v/>
      </c>
      <c r="Q260" s="220" t="str">
        <f t="shared" si="7"/>
        <v/>
      </c>
    </row>
    <row r="261" spans="10:17">
      <c r="J261" s="136" t="str">
        <f t="shared" si="6"/>
        <v/>
      </c>
      <c r="Q261" s="220" t="str">
        <f t="shared" si="7"/>
        <v/>
      </c>
    </row>
    <row r="262" spans="10:17">
      <c r="J262" s="136" t="str">
        <f t="shared" si="6"/>
        <v/>
      </c>
      <c r="Q262" s="220" t="str">
        <f t="shared" si="7"/>
        <v/>
      </c>
    </row>
    <row r="263" spans="10:17">
      <c r="J263" s="136" t="str">
        <f t="shared" si="6"/>
        <v/>
      </c>
      <c r="Q263" s="220" t="str">
        <f t="shared" si="7"/>
        <v/>
      </c>
    </row>
    <row r="264" spans="10:17">
      <c r="J264" s="136" t="str">
        <f t="shared" si="6"/>
        <v/>
      </c>
      <c r="Q264" s="220" t="str">
        <f t="shared" si="7"/>
        <v/>
      </c>
    </row>
    <row r="265" spans="10:17">
      <c r="J265" s="136" t="str">
        <f t="shared" si="6"/>
        <v/>
      </c>
      <c r="Q265" s="220" t="str">
        <f t="shared" si="7"/>
        <v/>
      </c>
    </row>
    <row r="266" spans="10:17">
      <c r="J266" s="136" t="str">
        <f t="shared" si="6"/>
        <v/>
      </c>
      <c r="Q266" s="220" t="str">
        <f t="shared" si="7"/>
        <v/>
      </c>
    </row>
    <row r="267" spans="10:17">
      <c r="J267" s="136" t="str">
        <f t="shared" si="6"/>
        <v/>
      </c>
      <c r="Q267" s="220" t="str">
        <f t="shared" si="7"/>
        <v/>
      </c>
    </row>
    <row r="268" spans="10:17">
      <c r="J268" s="136" t="str">
        <f t="shared" si="6"/>
        <v/>
      </c>
      <c r="Q268" s="220" t="str">
        <f t="shared" si="7"/>
        <v/>
      </c>
    </row>
    <row r="269" spans="10:17">
      <c r="J269" s="136" t="str">
        <f t="shared" si="6"/>
        <v/>
      </c>
      <c r="Q269" s="220" t="str">
        <f t="shared" si="7"/>
        <v/>
      </c>
    </row>
    <row r="270" spans="10:17">
      <c r="J270" s="136" t="str">
        <f t="shared" si="6"/>
        <v/>
      </c>
      <c r="Q270" s="220" t="str">
        <f t="shared" si="7"/>
        <v/>
      </c>
    </row>
    <row r="271" spans="10:17">
      <c r="J271" s="136" t="str">
        <f t="shared" ref="J271:J334" si="8">IF(D271+G271+I271,D271*G271*I271,"")</f>
        <v/>
      </c>
      <c r="Q271" s="220" t="str">
        <f t="shared" ref="Q271:Q334" si="9">IF(N271+O271+P271,N271*O271*P271,"")</f>
        <v/>
      </c>
    </row>
    <row r="272" spans="10:17">
      <c r="J272" s="136" t="str">
        <f t="shared" si="8"/>
        <v/>
      </c>
      <c r="Q272" s="220" t="str">
        <f t="shared" si="9"/>
        <v/>
      </c>
    </row>
    <row r="273" spans="10:17">
      <c r="J273" s="136" t="str">
        <f t="shared" si="8"/>
        <v/>
      </c>
      <c r="Q273" s="220" t="str">
        <f t="shared" si="9"/>
        <v/>
      </c>
    </row>
    <row r="274" spans="10:17">
      <c r="J274" s="136" t="str">
        <f t="shared" si="8"/>
        <v/>
      </c>
      <c r="Q274" s="220" t="str">
        <f t="shared" si="9"/>
        <v/>
      </c>
    </row>
    <row r="275" spans="10:17">
      <c r="J275" s="136" t="str">
        <f t="shared" si="8"/>
        <v/>
      </c>
      <c r="Q275" s="220" t="str">
        <f t="shared" si="9"/>
        <v/>
      </c>
    </row>
    <row r="276" spans="10:17">
      <c r="J276" s="136" t="str">
        <f t="shared" si="8"/>
        <v/>
      </c>
      <c r="Q276" s="220" t="str">
        <f t="shared" si="9"/>
        <v/>
      </c>
    </row>
    <row r="277" spans="10:17">
      <c r="J277" s="136" t="str">
        <f t="shared" si="8"/>
        <v/>
      </c>
      <c r="Q277" s="220" t="str">
        <f t="shared" si="9"/>
        <v/>
      </c>
    </row>
    <row r="278" spans="10:17">
      <c r="J278" s="136" t="str">
        <f t="shared" si="8"/>
        <v/>
      </c>
      <c r="Q278" s="220" t="str">
        <f t="shared" si="9"/>
        <v/>
      </c>
    </row>
    <row r="279" spans="10:17">
      <c r="J279" s="136" t="str">
        <f t="shared" si="8"/>
        <v/>
      </c>
      <c r="Q279" s="220" t="str">
        <f t="shared" si="9"/>
        <v/>
      </c>
    </row>
    <row r="280" spans="10:17">
      <c r="J280" s="136" t="str">
        <f t="shared" si="8"/>
        <v/>
      </c>
      <c r="Q280" s="220" t="str">
        <f t="shared" si="9"/>
        <v/>
      </c>
    </row>
    <row r="281" spans="10:17">
      <c r="J281" s="136" t="str">
        <f t="shared" si="8"/>
        <v/>
      </c>
      <c r="Q281" s="220" t="str">
        <f t="shared" si="9"/>
        <v/>
      </c>
    </row>
    <row r="282" spans="10:17">
      <c r="J282" s="136" t="str">
        <f t="shared" si="8"/>
        <v/>
      </c>
      <c r="Q282" s="220" t="str">
        <f t="shared" si="9"/>
        <v/>
      </c>
    </row>
    <row r="283" spans="10:17">
      <c r="J283" s="136" t="str">
        <f t="shared" si="8"/>
        <v/>
      </c>
      <c r="Q283" s="220" t="str">
        <f t="shared" si="9"/>
        <v/>
      </c>
    </row>
    <row r="284" spans="10:17">
      <c r="J284" s="136" t="str">
        <f t="shared" si="8"/>
        <v/>
      </c>
      <c r="Q284" s="220" t="str">
        <f t="shared" si="9"/>
        <v/>
      </c>
    </row>
    <row r="285" spans="10:17">
      <c r="J285" s="136" t="str">
        <f t="shared" si="8"/>
        <v/>
      </c>
      <c r="Q285" s="220" t="str">
        <f t="shared" si="9"/>
        <v/>
      </c>
    </row>
    <row r="286" spans="10:17">
      <c r="J286" s="136" t="str">
        <f t="shared" si="8"/>
        <v/>
      </c>
      <c r="Q286" s="220" t="str">
        <f t="shared" si="9"/>
        <v/>
      </c>
    </row>
    <row r="287" spans="10:17">
      <c r="J287" s="136" t="str">
        <f t="shared" si="8"/>
        <v/>
      </c>
      <c r="Q287" s="220" t="str">
        <f t="shared" si="9"/>
        <v/>
      </c>
    </row>
    <row r="288" spans="10:17">
      <c r="J288" s="136" t="str">
        <f t="shared" si="8"/>
        <v/>
      </c>
      <c r="Q288" s="220" t="str">
        <f t="shared" si="9"/>
        <v/>
      </c>
    </row>
    <row r="289" spans="10:17">
      <c r="J289" s="136" t="str">
        <f t="shared" si="8"/>
        <v/>
      </c>
      <c r="Q289" s="220" t="str">
        <f t="shared" si="9"/>
        <v/>
      </c>
    </row>
    <row r="290" spans="10:17">
      <c r="J290" s="136" t="str">
        <f t="shared" si="8"/>
        <v/>
      </c>
      <c r="Q290" s="220" t="str">
        <f t="shared" si="9"/>
        <v/>
      </c>
    </row>
    <row r="291" spans="10:17">
      <c r="J291" s="136" t="str">
        <f t="shared" si="8"/>
        <v/>
      </c>
      <c r="Q291" s="220" t="str">
        <f t="shared" si="9"/>
        <v/>
      </c>
    </row>
    <row r="292" spans="10:17">
      <c r="J292" s="136" t="str">
        <f t="shared" si="8"/>
        <v/>
      </c>
      <c r="Q292" s="220" t="str">
        <f t="shared" si="9"/>
        <v/>
      </c>
    </row>
    <row r="293" spans="10:17">
      <c r="J293" s="136" t="str">
        <f t="shared" si="8"/>
        <v/>
      </c>
      <c r="Q293" s="220" t="str">
        <f t="shared" si="9"/>
        <v/>
      </c>
    </row>
    <row r="294" spans="10:17">
      <c r="J294" s="136" t="str">
        <f t="shared" si="8"/>
        <v/>
      </c>
      <c r="Q294" s="220" t="str">
        <f t="shared" si="9"/>
        <v/>
      </c>
    </row>
    <row r="295" spans="10:17">
      <c r="J295" s="136" t="str">
        <f t="shared" si="8"/>
        <v/>
      </c>
      <c r="Q295" s="220" t="str">
        <f t="shared" si="9"/>
        <v/>
      </c>
    </row>
    <row r="296" spans="10:17">
      <c r="J296" s="136" t="str">
        <f t="shared" si="8"/>
        <v/>
      </c>
      <c r="Q296" s="220" t="str">
        <f t="shared" si="9"/>
        <v/>
      </c>
    </row>
    <row r="297" spans="10:17">
      <c r="J297" s="136" t="str">
        <f t="shared" si="8"/>
        <v/>
      </c>
      <c r="Q297" s="220" t="str">
        <f t="shared" si="9"/>
        <v/>
      </c>
    </row>
    <row r="298" spans="10:17">
      <c r="J298" s="136" t="str">
        <f t="shared" si="8"/>
        <v/>
      </c>
      <c r="Q298" s="220" t="str">
        <f t="shared" si="9"/>
        <v/>
      </c>
    </row>
    <row r="299" spans="10:17">
      <c r="J299" s="136" t="str">
        <f t="shared" si="8"/>
        <v/>
      </c>
      <c r="Q299" s="220" t="str">
        <f t="shared" si="9"/>
        <v/>
      </c>
    </row>
    <row r="300" spans="10:17">
      <c r="J300" s="136" t="str">
        <f t="shared" si="8"/>
        <v/>
      </c>
      <c r="Q300" s="220" t="str">
        <f t="shared" si="9"/>
        <v/>
      </c>
    </row>
    <row r="301" spans="10:17">
      <c r="J301" s="136" t="str">
        <f t="shared" si="8"/>
        <v/>
      </c>
      <c r="Q301" s="220" t="str">
        <f t="shared" si="9"/>
        <v/>
      </c>
    </row>
    <row r="302" spans="10:17">
      <c r="J302" s="136" t="str">
        <f t="shared" si="8"/>
        <v/>
      </c>
      <c r="Q302" s="220" t="str">
        <f t="shared" si="9"/>
        <v/>
      </c>
    </row>
    <row r="303" spans="10:17">
      <c r="J303" s="136" t="str">
        <f t="shared" si="8"/>
        <v/>
      </c>
      <c r="Q303" s="220" t="str">
        <f t="shared" si="9"/>
        <v/>
      </c>
    </row>
    <row r="304" spans="10:17">
      <c r="J304" s="136" t="str">
        <f t="shared" si="8"/>
        <v/>
      </c>
      <c r="Q304" s="220" t="str">
        <f t="shared" si="9"/>
        <v/>
      </c>
    </row>
    <row r="305" spans="10:17">
      <c r="J305" s="136" t="str">
        <f t="shared" si="8"/>
        <v/>
      </c>
      <c r="Q305" s="220" t="str">
        <f t="shared" si="9"/>
        <v/>
      </c>
    </row>
    <row r="306" spans="10:17">
      <c r="J306" s="136" t="str">
        <f t="shared" si="8"/>
        <v/>
      </c>
      <c r="Q306" s="220" t="str">
        <f t="shared" si="9"/>
        <v/>
      </c>
    </row>
    <row r="307" spans="10:17">
      <c r="J307" s="136" t="str">
        <f t="shared" si="8"/>
        <v/>
      </c>
      <c r="Q307" s="220" t="str">
        <f t="shared" si="9"/>
        <v/>
      </c>
    </row>
    <row r="308" spans="10:17">
      <c r="J308" s="136" t="str">
        <f t="shared" si="8"/>
        <v/>
      </c>
      <c r="Q308" s="220" t="str">
        <f t="shared" si="9"/>
        <v/>
      </c>
    </row>
    <row r="309" spans="10:17">
      <c r="J309" s="136" t="str">
        <f t="shared" si="8"/>
        <v/>
      </c>
      <c r="Q309" s="220" t="str">
        <f t="shared" si="9"/>
        <v/>
      </c>
    </row>
    <row r="310" spans="10:17">
      <c r="J310" s="136" t="str">
        <f t="shared" si="8"/>
        <v/>
      </c>
      <c r="Q310" s="220" t="str">
        <f t="shared" si="9"/>
        <v/>
      </c>
    </row>
    <row r="311" spans="10:17">
      <c r="J311" s="136" t="str">
        <f t="shared" si="8"/>
        <v/>
      </c>
      <c r="Q311" s="220" t="str">
        <f t="shared" si="9"/>
        <v/>
      </c>
    </row>
    <row r="312" spans="10:17">
      <c r="J312" s="136" t="str">
        <f t="shared" si="8"/>
        <v/>
      </c>
      <c r="Q312" s="220" t="str">
        <f t="shared" si="9"/>
        <v/>
      </c>
    </row>
    <row r="313" spans="10:17">
      <c r="J313" s="136" t="str">
        <f t="shared" si="8"/>
        <v/>
      </c>
      <c r="Q313" s="220" t="str">
        <f t="shared" si="9"/>
        <v/>
      </c>
    </row>
    <row r="314" spans="10:17">
      <c r="J314" s="136" t="str">
        <f t="shared" si="8"/>
        <v/>
      </c>
      <c r="Q314" s="220" t="str">
        <f t="shared" si="9"/>
        <v/>
      </c>
    </row>
    <row r="315" spans="10:17">
      <c r="J315" s="136" t="str">
        <f t="shared" si="8"/>
        <v/>
      </c>
      <c r="Q315" s="220" t="str">
        <f t="shared" si="9"/>
        <v/>
      </c>
    </row>
    <row r="316" spans="10:17">
      <c r="J316" s="136" t="str">
        <f t="shared" si="8"/>
        <v/>
      </c>
      <c r="Q316" s="220" t="str">
        <f t="shared" si="9"/>
        <v/>
      </c>
    </row>
    <row r="317" spans="10:17">
      <c r="J317" s="136" t="str">
        <f t="shared" si="8"/>
        <v/>
      </c>
      <c r="Q317" s="220" t="str">
        <f t="shared" si="9"/>
        <v/>
      </c>
    </row>
    <row r="318" spans="10:17">
      <c r="J318" s="136" t="str">
        <f t="shared" si="8"/>
        <v/>
      </c>
      <c r="Q318" s="220" t="str">
        <f t="shared" si="9"/>
        <v/>
      </c>
    </row>
    <row r="319" spans="10:17">
      <c r="J319" s="136" t="str">
        <f t="shared" si="8"/>
        <v/>
      </c>
      <c r="Q319" s="220" t="str">
        <f t="shared" si="9"/>
        <v/>
      </c>
    </row>
    <row r="320" spans="10:17">
      <c r="J320" s="136" t="str">
        <f t="shared" si="8"/>
        <v/>
      </c>
      <c r="Q320" s="220" t="str">
        <f t="shared" si="9"/>
        <v/>
      </c>
    </row>
    <row r="321" spans="10:17">
      <c r="J321" s="136" t="str">
        <f t="shared" si="8"/>
        <v/>
      </c>
      <c r="Q321" s="220" t="str">
        <f t="shared" si="9"/>
        <v/>
      </c>
    </row>
    <row r="322" spans="10:17">
      <c r="J322" s="136" t="str">
        <f t="shared" si="8"/>
        <v/>
      </c>
      <c r="Q322" s="220" t="str">
        <f t="shared" si="9"/>
        <v/>
      </c>
    </row>
    <row r="323" spans="10:17">
      <c r="J323" s="136" t="str">
        <f t="shared" si="8"/>
        <v/>
      </c>
      <c r="Q323" s="220" t="str">
        <f t="shared" si="9"/>
        <v/>
      </c>
    </row>
    <row r="324" spans="10:17">
      <c r="J324" s="136" t="str">
        <f t="shared" si="8"/>
        <v/>
      </c>
      <c r="Q324" s="220" t="str">
        <f t="shared" si="9"/>
        <v/>
      </c>
    </row>
    <row r="325" spans="10:17">
      <c r="J325" s="136" t="str">
        <f t="shared" si="8"/>
        <v/>
      </c>
      <c r="Q325" s="220" t="str">
        <f t="shared" si="9"/>
        <v/>
      </c>
    </row>
    <row r="326" spans="10:17">
      <c r="J326" s="136" t="str">
        <f t="shared" si="8"/>
        <v/>
      </c>
      <c r="Q326" s="220" t="str">
        <f t="shared" si="9"/>
        <v/>
      </c>
    </row>
    <row r="327" spans="10:17">
      <c r="J327" s="136" t="str">
        <f t="shared" si="8"/>
        <v/>
      </c>
      <c r="Q327" s="220" t="str">
        <f t="shared" si="9"/>
        <v/>
      </c>
    </row>
    <row r="328" spans="10:17">
      <c r="J328" s="136" t="str">
        <f t="shared" si="8"/>
        <v/>
      </c>
      <c r="Q328" s="220" t="str">
        <f t="shared" si="9"/>
        <v/>
      </c>
    </row>
    <row r="329" spans="10:17">
      <c r="J329" s="136" t="str">
        <f t="shared" si="8"/>
        <v/>
      </c>
      <c r="Q329" s="220" t="str">
        <f t="shared" si="9"/>
        <v/>
      </c>
    </row>
    <row r="330" spans="10:17">
      <c r="J330" s="136" t="str">
        <f t="shared" si="8"/>
        <v/>
      </c>
      <c r="Q330" s="220" t="str">
        <f t="shared" si="9"/>
        <v/>
      </c>
    </row>
    <row r="331" spans="10:17">
      <c r="J331" s="136" t="str">
        <f t="shared" si="8"/>
        <v/>
      </c>
      <c r="Q331" s="220" t="str">
        <f t="shared" si="9"/>
        <v/>
      </c>
    </row>
    <row r="332" spans="10:17">
      <c r="J332" s="136" t="str">
        <f t="shared" si="8"/>
        <v/>
      </c>
      <c r="Q332" s="220" t="str">
        <f t="shared" si="9"/>
        <v/>
      </c>
    </row>
    <row r="333" spans="10:17">
      <c r="J333" s="136" t="str">
        <f t="shared" si="8"/>
        <v/>
      </c>
      <c r="Q333" s="220" t="str">
        <f t="shared" si="9"/>
        <v/>
      </c>
    </row>
    <row r="334" spans="10:17">
      <c r="J334" s="136" t="str">
        <f t="shared" si="8"/>
        <v/>
      </c>
      <c r="Q334" s="220" t="str">
        <f t="shared" si="9"/>
        <v/>
      </c>
    </row>
    <row r="335" spans="10:17">
      <c r="J335" s="136" t="str">
        <f t="shared" ref="J335:J398" si="10">IF(D335+G335+I335,D335*G335*I335,"")</f>
        <v/>
      </c>
      <c r="Q335" s="220" t="str">
        <f t="shared" ref="Q335:Q398" si="11">IF(N335+O335+P335,N335*O335*P335,"")</f>
        <v/>
      </c>
    </row>
    <row r="336" spans="10:17">
      <c r="J336" s="136" t="str">
        <f t="shared" si="10"/>
        <v/>
      </c>
      <c r="Q336" s="220" t="str">
        <f t="shared" si="11"/>
        <v/>
      </c>
    </row>
    <row r="337" spans="10:17">
      <c r="J337" s="136" t="str">
        <f t="shared" si="10"/>
        <v/>
      </c>
      <c r="Q337" s="220" t="str">
        <f t="shared" si="11"/>
        <v/>
      </c>
    </row>
    <row r="338" spans="10:17">
      <c r="J338" s="136" t="str">
        <f t="shared" si="10"/>
        <v/>
      </c>
      <c r="Q338" s="220" t="str">
        <f t="shared" si="11"/>
        <v/>
      </c>
    </row>
    <row r="339" spans="10:17">
      <c r="J339" s="136" t="str">
        <f t="shared" si="10"/>
        <v/>
      </c>
      <c r="Q339" s="220" t="str">
        <f t="shared" si="11"/>
        <v/>
      </c>
    </row>
    <row r="340" spans="10:17">
      <c r="J340" s="136" t="str">
        <f t="shared" si="10"/>
        <v/>
      </c>
      <c r="Q340" s="220" t="str">
        <f t="shared" si="11"/>
        <v/>
      </c>
    </row>
    <row r="341" spans="10:17">
      <c r="J341" s="136" t="str">
        <f t="shared" si="10"/>
        <v/>
      </c>
      <c r="Q341" s="220" t="str">
        <f t="shared" si="11"/>
        <v/>
      </c>
    </row>
    <row r="342" spans="10:17">
      <c r="J342" s="136" t="str">
        <f t="shared" si="10"/>
        <v/>
      </c>
      <c r="Q342" s="220" t="str">
        <f t="shared" si="11"/>
        <v/>
      </c>
    </row>
    <row r="343" spans="10:17">
      <c r="J343" s="136" t="str">
        <f t="shared" si="10"/>
        <v/>
      </c>
      <c r="Q343" s="220" t="str">
        <f t="shared" si="11"/>
        <v/>
      </c>
    </row>
    <row r="344" spans="10:17">
      <c r="J344" s="136" t="str">
        <f t="shared" si="10"/>
        <v/>
      </c>
      <c r="Q344" s="220" t="str">
        <f t="shared" si="11"/>
        <v/>
      </c>
    </row>
    <row r="345" spans="10:17">
      <c r="J345" s="136" t="str">
        <f t="shared" si="10"/>
        <v/>
      </c>
      <c r="Q345" s="220" t="str">
        <f t="shared" si="11"/>
        <v/>
      </c>
    </row>
    <row r="346" spans="10:17">
      <c r="J346" s="136" t="str">
        <f t="shared" si="10"/>
        <v/>
      </c>
      <c r="Q346" s="220" t="str">
        <f t="shared" si="11"/>
        <v/>
      </c>
    </row>
    <row r="347" spans="10:17">
      <c r="J347" s="136" t="str">
        <f t="shared" si="10"/>
        <v/>
      </c>
      <c r="Q347" s="220" t="str">
        <f t="shared" si="11"/>
        <v/>
      </c>
    </row>
    <row r="348" spans="10:17">
      <c r="J348" s="136" t="str">
        <f t="shared" si="10"/>
        <v/>
      </c>
      <c r="Q348" s="220" t="str">
        <f t="shared" si="11"/>
        <v/>
      </c>
    </row>
    <row r="349" spans="10:17">
      <c r="J349" s="136" t="str">
        <f t="shared" si="10"/>
        <v/>
      </c>
      <c r="Q349" s="220" t="str">
        <f t="shared" si="11"/>
        <v/>
      </c>
    </row>
    <row r="350" spans="10:17">
      <c r="J350" s="136" t="str">
        <f t="shared" si="10"/>
        <v/>
      </c>
      <c r="Q350" s="220" t="str">
        <f t="shared" si="11"/>
        <v/>
      </c>
    </row>
    <row r="351" spans="10:17">
      <c r="J351" s="136" t="str">
        <f t="shared" si="10"/>
        <v/>
      </c>
      <c r="Q351" s="220" t="str">
        <f t="shared" si="11"/>
        <v/>
      </c>
    </row>
    <row r="352" spans="10:17">
      <c r="J352" s="136" t="str">
        <f t="shared" si="10"/>
        <v/>
      </c>
      <c r="Q352" s="220" t="str">
        <f t="shared" si="11"/>
        <v/>
      </c>
    </row>
    <row r="353" spans="10:17">
      <c r="J353" s="136" t="str">
        <f t="shared" si="10"/>
        <v/>
      </c>
      <c r="Q353" s="220" t="str">
        <f t="shared" si="11"/>
        <v/>
      </c>
    </row>
    <row r="354" spans="10:17">
      <c r="J354" s="136" t="str">
        <f t="shared" si="10"/>
        <v/>
      </c>
      <c r="Q354" s="220" t="str">
        <f t="shared" si="11"/>
        <v/>
      </c>
    </row>
    <row r="355" spans="10:17">
      <c r="J355" s="136" t="str">
        <f t="shared" si="10"/>
        <v/>
      </c>
      <c r="Q355" s="220" t="str">
        <f t="shared" si="11"/>
        <v/>
      </c>
    </row>
    <row r="356" spans="10:17">
      <c r="J356" s="136" t="str">
        <f t="shared" si="10"/>
        <v/>
      </c>
      <c r="Q356" s="220" t="str">
        <f t="shared" si="11"/>
        <v/>
      </c>
    </row>
    <row r="357" spans="10:17">
      <c r="J357" s="136" t="str">
        <f t="shared" si="10"/>
        <v/>
      </c>
      <c r="Q357" s="220" t="str">
        <f t="shared" si="11"/>
        <v/>
      </c>
    </row>
    <row r="358" spans="10:17">
      <c r="J358" s="136" t="str">
        <f t="shared" si="10"/>
        <v/>
      </c>
      <c r="Q358" s="220" t="str">
        <f t="shared" si="11"/>
        <v/>
      </c>
    </row>
    <row r="359" spans="10:17">
      <c r="J359" s="136" t="str">
        <f t="shared" si="10"/>
        <v/>
      </c>
      <c r="Q359" s="220" t="str">
        <f t="shared" si="11"/>
        <v/>
      </c>
    </row>
    <row r="360" spans="10:17">
      <c r="J360" s="136" t="str">
        <f t="shared" si="10"/>
        <v/>
      </c>
      <c r="Q360" s="220" t="str">
        <f t="shared" si="11"/>
        <v/>
      </c>
    </row>
    <row r="361" spans="10:17">
      <c r="J361" s="136" t="str">
        <f t="shared" si="10"/>
        <v/>
      </c>
      <c r="Q361" s="220" t="str">
        <f t="shared" si="11"/>
        <v/>
      </c>
    </row>
    <row r="362" spans="10:17">
      <c r="J362" s="136" t="str">
        <f t="shared" si="10"/>
        <v/>
      </c>
      <c r="Q362" s="220" t="str">
        <f t="shared" si="11"/>
        <v/>
      </c>
    </row>
    <row r="363" spans="10:17">
      <c r="J363" s="136" t="str">
        <f t="shared" si="10"/>
        <v/>
      </c>
      <c r="Q363" s="220" t="str">
        <f t="shared" si="11"/>
        <v/>
      </c>
    </row>
    <row r="364" spans="10:17">
      <c r="J364" s="136" t="str">
        <f t="shared" si="10"/>
        <v/>
      </c>
      <c r="Q364" s="220" t="str">
        <f t="shared" si="11"/>
        <v/>
      </c>
    </row>
    <row r="365" spans="10:17">
      <c r="J365" s="136" t="str">
        <f t="shared" si="10"/>
        <v/>
      </c>
      <c r="Q365" s="220" t="str">
        <f t="shared" si="11"/>
        <v/>
      </c>
    </row>
    <row r="366" spans="10:17">
      <c r="J366" s="136" t="str">
        <f t="shared" si="10"/>
        <v/>
      </c>
      <c r="Q366" s="220" t="str">
        <f t="shared" si="11"/>
        <v/>
      </c>
    </row>
    <row r="367" spans="10:17">
      <c r="J367" s="136" t="str">
        <f t="shared" si="10"/>
        <v/>
      </c>
      <c r="Q367" s="220" t="str">
        <f t="shared" si="11"/>
        <v/>
      </c>
    </row>
    <row r="368" spans="10:17">
      <c r="J368" s="136" t="str">
        <f t="shared" si="10"/>
        <v/>
      </c>
      <c r="Q368" s="220" t="str">
        <f t="shared" si="11"/>
        <v/>
      </c>
    </row>
    <row r="369" spans="10:17">
      <c r="J369" s="136" t="str">
        <f t="shared" si="10"/>
        <v/>
      </c>
      <c r="Q369" s="220" t="str">
        <f t="shared" si="11"/>
        <v/>
      </c>
    </row>
    <row r="370" spans="10:17">
      <c r="J370" s="136" t="str">
        <f t="shared" si="10"/>
        <v/>
      </c>
      <c r="Q370" s="220" t="str">
        <f t="shared" si="11"/>
        <v/>
      </c>
    </row>
    <row r="371" spans="10:17">
      <c r="J371" s="136" t="str">
        <f t="shared" si="10"/>
        <v/>
      </c>
      <c r="Q371" s="220" t="str">
        <f t="shared" si="11"/>
        <v/>
      </c>
    </row>
    <row r="372" spans="10:17">
      <c r="J372" s="136" t="str">
        <f t="shared" si="10"/>
        <v/>
      </c>
      <c r="Q372" s="220" t="str">
        <f t="shared" si="11"/>
        <v/>
      </c>
    </row>
    <row r="373" spans="10:17">
      <c r="J373" s="136" t="str">
        <f t="shared" si="10"/>
        <v/>
      </c>
      <c r="Q373" s="220" t="str">
        <f t="shared" si="11"/>
        <v/>
      </c>
    </row>
    <row r="374" spans="10:17">
      <c r="J374" s="136" t="str">
        <f t="shared" si="10"/>
        <v/>
      </c>
      <c r="Q374" s="220" t="str">
        <f t="shared" si="11"/>
        <v/>
      </c>
    </row>
    <row r="375" spans="10:17">
      <c r="J375" s="136" t="str">
        <f t="shared" si="10"/>
        <v/>
      </c>
      <c r="Q375" s="220" t="str">
        <f t="shared" si="11"/>
        <v/>
      </c>
    </row>
    <row r="376" spans="10:17">
      <c r="J376" s="136" t="str">
        <f t="shared" si="10"/>
        <v/>
      </c>
      <c r="Q376" s="220" t="str">
        <f t="shared" si="11"/>
        <v/>
      </c>
    </row>
    <row r="377" spans="10:17">
      <c r="J377" s="136" t="str">
        <f t="shared" si="10"/>
        <v/>
      </c>
      <c r="Q377" s="220" t="str">
        <f t="shared" si="11"/>
        <v/>
      </c>
    </row>
    <row r="378" spans="10:17">
      <c r="J378" s="136" t="str">
        <f t="shared" si="10"/>
        <v/>
      </c>
      <c r="Q378" s="220" t="str">
        <f t="shared" si="11"/>
        <v/>
      </c>
    </row>
    <row r="379" spans="10:17">
      <c r="J379" s="136" t="str">
        <f t="shared" si="10"/>
        <v/>
      </c>
      <c r="Q379" s="220" t="str">
        <f t="shared" si="11"/>
        <v/>
      </c>
    </row>
    <row r="380" spans="10:17">
      <c r="J380" s="136" t="str">
        <f t="shared" si="10"/>
        <v/>
      </c>
      <c r="Q380" s="220" t="str">
        <f t="shared" si="11"/>
        <v/>
      </c>
    </row>
    <row r="381" spans="10:17">
      <c r="J381" s="136" t="str">
        <f t="shared" si="10"/>
        <v/>
      </c>
      <c r="Q381" s="220" t="str">
        <f t="shared" si="11"/>
        <v/>
      </c>
    </row>
    <row r="382" spans="10:17">
      <c r="J382" s="136" t="str">
        <f t="shared" si="10"/>
        <v/>
      </c>
      <c r="Q382" s="220" t="str">
        <f t="shared" si="11"/>
        <v/>
      </c>
    </row>
    <row r="383" spans="10:17">
      <c r="J383" s="136" t="str">
        <f t="shared" si="10"/>
        <v/>
      </c>
      <c r="Q383" s="220" t="str">
        <f t="shared" si="11"/>
        <v/>
      </c>
    </row>
    <row r="384" spans="10:17">
      <c r="J384" s="136" t="str">
        <f t="shared" si="10"/>
        <v/>
      </c>
      <c r="Q384" s="220" t="str">
        <f t="shared" si="11"/>
        <v/>
      </c>
    </row>
    <row r="385" spans="10:17">
      <c r="J385" s="136" t="str">
        <f t="shared" si="10"/>
        <v/>
      </c>
      <c r="Q385" s="220" t="str">
        <f t="shared" si="11"/>
        <v/>
      </c>
    </row>
    <row r="386" spans="10:17">
      <c r="J386" s="136" t="str">
        <f t="shared" si="10"/>
        <v/>
      </c>
      <c r="Q386" s="220" t="str">
        <f t="shared" si="11"/>
        <v/>
      </c>
    </row>
    <row r="387" spans="10:17">
      <c r="J387" s="136" t="str">
        <f t="shared" si="10"/>
        <v/>
      </c>
      <c r="Q387" s="220" t="str">
        <f t="shared" si="11"/>
        <v/>
      </c>
    </row>
    <row r="388" spans="10:17">
      <c r="J388" s="136" t="str">
        <f t="shared" si="10"/>
        <v/>
      </c>
      <c r="Q388" s="220" t="str">
        <f t="shared" si="11"/>
        <v/>
      </c>
    </row>
    <row r="389" spans="10:17">
      <c r="J389" s="136" t="str">
        <f t="shared" si="10"/>
        <v/>
      </c>
      <c r="Q389" s="220" t="str">
        <f t="shared" si="11"/>
        <v/>
      </c>
    </row>
    <row r="390" spans="10:17">
      <c r="J390" s="136" t="str">
        <f t="shared" si="10"/>
        <v/>
      </c>
      <c r="Q390" s="220" t="str">
        <f t="shared" si="11"/>
        <v/>
      </c>
    </row>
    <row r="391" spans="10:17">
      <c r="J391" s="136" t="str">
        <f t="shared" si="10"/>
        <v/>
      </c>
      <c r="Q391" s="220" t="str">
        <f t="shared" si="11"/>
        <v/>
      </c>
    </row>
    <row r="392" spans="10:17">
      <c r="J392" s="136" t="str">
        <f t="shared" si="10"/>
        <v/>
      </c>
      <c r="Q392" s="220" t="str">
        <f t="shared" si="11"/>
        <v/>
      </c>
    </row>
    <row r="393" spans="10:17">
      <c r="J393" s="136" t="str">
        <f t="shared" si="10"/>
        <v/>
      </c>
      <c r="Q393" s="220" t="str">
        <f t="shared" si="11"/>
        <v/>
      </c>
    </row>
    <row r="394" spans="10:17">
      <c r="J394" s="136" t="str">
        <f t="shared" si="10"/>
        <v/>
      </c>
      <c r="Q394" s="220" t="str">
        <f t="shared" si="11"/>
        <v/>
      </c>
    </row>
    <row r="395" spans="10:17">
      <c r="J395" s="136" t="str">
        <f t="shared" si="10"/>
        <v/>
      </c>
      <c r="Q395" s="220" t="str">
        <f t="shared" si="11"/>
        <v/>
      </c>
    </row>
    <row r="396" spans="10:17">
      <c r="J396" s="136" t="str">
        <f t="shared" si="10"/>
        <v/>
      </c>
      <c r="Q396" s="220" t="str">
        <f t="shared" si="11"/>
        <v/>
      </c>
    </row>
    <row r="397" spans="10:17">
      <c r="J397" s="136" t="str">
        <f t="shared" si="10"/>
        <v/>
      </c>
      <c r="Q397" s="220" t="str">
        <f t="shared" si="11"/>
        <v/>
      </c>
    </row>
    <row r="398" spans="10:17">
      <c r="J398" s="136" t="str">
        <f t="shared" si="10"/>
        <v/>
      </c>
      <c r="Q398" s="220" t="str">
        <f t="shared" si="11"/>
        <v/>
      </c>
    </row>
    <row r="399" spans="10:17">
      <c r="J399" s="136" t="str">
        <f t="shared" ref="J399:J462" si="12">IF(D399+G399+I399,D399*G399*I399,"")</f>
        <v/>
      </c>
      <c r="Q399" s="220" t="str">
        <f t="shared" ref="Q399:Q462" si="13">IF(N399+O399+P399,N399*O399*P399,"")</f>
        <v/>
      </c>
    </row>
    <row r="400" spans="10:17">
      <c r="J400" s="136" t="str">
        <f t="shared" si="12"/>
        <v/>
      </c>
      <c r="Q400" s="220" t="str">
        <f t="shared" si="13"/>
        <v/>
      </c>
    </row>
    <row r="401" spans="10:17">
      <c r="J401" s="136" t="str">
        <f t="shared" si="12"/>
        <v/>
      </c>
      <c r="Q401" s="220" t="str">
        <f t="shared" si="13"/>
        <v/>
      </c>
    </row>
    <row r="402" spans="10:17">
      <c r="J402" s="136" t="str">
        <f t="shared" si="12"/>
        <v/>
      </c>
      <c r="Q402" s="220" t="str">
        <f t="shared" si="13"/>
        <v/>
      </c>
    </row>
    <row r="403" spans="10:17">
      <c r="J403" s="136" t="str">
        <f t="shared" si="12"/>
        <v/>
      </c>
      <c r="Q403" s="220" t="str">
        <f t="shared" si="13"/>
        <v/>
      </c>
    </row>
    <row r="404" spans="10:17">
      <c r="J404" s="136" t="str">
        <f t="shared" si="12"/>
        <v/>
      </c>
      <c r="Q404" s="220" t="str">
        <f t="shared" si="13"/>
        <v/>
      </c>
    </row>
    <row r="405" spans="10:17">
      <c r="J405" s="136" t="str">
        <f t="shared" si="12"/>
        <v/>
      </c>
      <c r="Q405" s="220" t="str">
        <f t="shared" si="13"/>
        <v/>
      </c>
    </row>
    <row r="406" spans="10:17">
      <c r="J406" s="136" t="str">
        <f t="shared" si="12"/>
        <v/>
      </c>
      <c r="Q406" s="220" t="str">
        <f t="shared" si="13"/>
        <v/>
      </c>
    </row>
    <row r="407" spans="10:17">
      <c r="J407" s="136" t="str">
        <f t="shared" si="12"/>
        <v/>
      </c>
      <c r="Q407" s="220" t="str">
        <f t="shared" si="13"/>
        <v/>
      </c>
    </row>
    <row r="408" spans="10:17">
      <c r="J408" s="136" t="str">
        <f t="shared" si="12"/>
        <v/>
      </c>
      <c r="Q408" s="220" t="str">
        <f t="shared" si="13"/>
        <v/>
      </c>
    </row>
    <row r="409" spans="10:17">
      <c r="J409" s="136" t="str">
        <f t="shared" si="12"/>
        <v/>
      </c>
      <c r="Q409" s="220" t="str">
        <f t="shared" si="13"/>
        <v/>
      </c>
    </row>
    <row r="410" spans="10:17">
      <c r="J410" s="136" t="str">
        <f t="shared" si="12"/>
        <v/>
      </c>
      <c r="Q410" s="220" t="str">
        <f t="shared" si="13"/>
        <v/>
      </c>
    </row>
    <row r="411" spans="10:17">
      <c r="J411" s="136" t="str">
        <f t="shared" si="12"/>
        <v/>
      </c>
      <c r="Q411" s="220" t="str">
        <f t="shared" si="13"/>
        <v/>
      </c>
    </row>
    <row r="412" spans="10:17">
      <c r="J412" s="136" t="str">
        <f t="shared" si="12"/>
        <v/>
      </c>
      <c r="Q412" s="220" t="str">
        <f t="shared" si="13"/>
        <v/>
      </c>
    </row>
    <row r="413" spans="10:17">
      <c r="J413" s="136" t="str">
        <f t="shared" si="12"/>
        <v/>
      </c>
      <c r="Q413" s="220" t="str">
        <f t="shared" si="13"/>
        <v/>
      </c>
    </row>
    <row r="414" spans="10:17">
      <c r="J414" s="136" t="str">
        <f t="shared" si="12"/>
        <v/>
      </c>
      <c r="Q414" s="220" t="str">
        <f t="shared" si="13"/>
        <v/>
      </c>
    </row>
    <row r="415" spans="10:17">
      <c r="J415" s="136" t="str">
        <f t="shared" si="12"/>
        <v/>
      </c>
      <c r="Q415" s="220" t="str">
        <f t="shared" si="13"/>
        <v/>
      </c>
    </row>
    <row r="416" spans="10:17">
      <c r="J416" s="136" t="str">
        <f t="shared" si="12"/>
        <v/>
      </c>
      <c r="Q416" s="220" t="str">
        <f t="shared" si="13"/>
        <v/>
      </c>
    </row>
    <row r="417" spans="10:17">
      <c r="J417" s="136" t="str">
        <f t="shared" si="12"/>
        <v/>
      </c>
      <c r="Q417" s="220" t="str">
        <f t="shared" si="13"/>
        <v/>
      </c>
    </row>
    <row r="418" spans="10:17">
      <c r="J418" s="136" t="str">
        <f t="shared" si="12"/>
        <v/>
      </c>
      <c r="Q418" s="220" t="str">
        <f t="shared" si="13"/>
        <v/>
      </c>
    </row>
    <row r="419" spans="10:17">
      <c r="J419" s="136" t="str">
        <f t="shared" si="12"/>
        <v/>
      </c>
      <c r="Q419" s="220" t="str">
        <f t="shared" si="13"/>
        <v/>
      </c>
    </row>
    <row r="420" spans="10:17">
      <c r="J420" s="136" t="str">
        <f t="shared" si="12"/>
        <v/>
      </c>
      <c r="Q420" s="220" t="str">
        <f t="shared" si="13"/>
        <v/>
      </c>
    </row>
    <row r="421" spans="10:17">
      <c r="J421" s="136" t="str">
        <f t="shared" si="12"/>
        <v/>
      </c>
      <c r="Q421" s="220" t="str">
        <f t="shared" si="13"/>
        <v/>
      </c>
    </row>
    <row r="422" spans="10:17">
      <c r="J422" s="136" t="str">
        <f t="shared" si="12"/>
        <v/>
      </c>
      <c r="Q422" s="220" t="str">
        <f t="shared" si="13"/>
        <v/>
      </c>
    </row>
    <row r="423" spans="10:17">
      <c r="J423" s="136" t="str">
        <f t="shared" si="12"/>
        <v/>
      </c>
      <c r="Q423" s="220" t="str">
        <f t="shared" si="13"/>
        <v/>
      </c>
    </row>
    <row r="424" spans="10:17">
      <c r="J424" s="136" t="str">
        <f t="shared" si="12"/>
        <v/>
      </c>
      <c r="Q424" s="220" t="str">
        <f t="shared" si="13"/>
        <v/>
      </c>
    </row>
    <row r="425" spans="10:17">
      <c r="J425" s="136" t="str">
        <f t="shared" si="12"/>
        <v/>
      </c>
      <c r="Q425" s="220" t="str">
        <f t="shared" si="13"/>
        <v/>
      </c>
    </row>
    <row r="426" spans="10:17">
      <c r="J426" s="136" t="str">
        <f t="shared" si="12"/>
        <v/>
      </c>
      <c r="Q426" s="220" t="str">
        <f t="shared" si="13"/>
        <v/>
      </c>
    </row>
    <row r="427" spans="10:17">
      <c r="J427" s="136" t="str">
        <f t="shared" si="12"/>
        <v/>
      </c>
      <c r="Q427" s="220" t="str">
        <f t="shared" si="13"/>
        <v/>
      </c>
    </row>
    <row r="428" spans="10:17">
      <c r="J428" s="136" t="str">
        <f t="shared" si="12"/>
        <v/>
      </c>
      <c r="Q428" s="220" t="str">
        <f t="shared" si="13"/>
        <v/>
      </c>
    </row>
    <row r="429" spans="10:17">
      <c r="J429" s="136" t="str">
        <f t="shared" si="12"/>
        <v/>
      </c>
      <c r="Q429" s="220" t="str">
        <f t="shared" si="13"/>
        <v/>
      </c>
    </row>
    <row r="430" spans="10:17">
      <c r="J430" s="136" t="str">
        <f t="shared" si="12"/>
        <v/>
      </c>
      <c r="Q430" s="220" t="str">
        <f t="shared" si="13"/>
        <v/>
      </c>
    </row>
    <row r="431" spans="10:17">
      <c r="J431" s="136" t="str">
        <f t="shared" si="12"/>
        <v/>
      </c>
      <c r="Q431" s="220" t="str">
        <f t="shared" si="13"/>
        <v/>
      </c>
    </row>
    <row r="432" spans="10:17">
      <c r="J432" s="136" t="str">
        <f t="shared" si="12"/>
        <v/>
      </c>
      <c r="Q432" s="220" t="str">
        <f t="shared" si="13"/>
        <v/>
      </c>
    </row>
    <row r="433" spans="10:17">
      <c r="J433" s="136" t="str">
        <f t="shared" si="12"/>
        <v/>
      </c>
      <c r="Q433" s="220" t="str">
        <f t="shared" si="13"/>
        <v/>
      </c>
    </row>
    <row r="434" spans="10:17">
      <c r="J434" s="136" t="str">
        <f t="shared" si="12"/>
        <v/>
      </c>
      <c r="Q434" s="220" t="str">
        <f t="shared" si="13"/>
        <v/>
      </c>
    </row>
    <row r="435" spans="10:17">
      <c r="J435" s="136" t="str">
        <f t="shared" si="12"/>
        <v/>
      </c>
      <c r="Q435" s="220" t="str">
        <f t="shared" si="13"/>
        <v/>
      </c>
    </row>
    <row r="436" spans="10:17">
      <c r="J436" s="136" t="str">
        <f t="shared" si="12"/>
        <v/>
      </c>
      <c r="Q436" s="220" t="str">
        <f t="shared" si="13"/>
        <v/>
      </c>
    </row>
    <row r="437" spans="10:17">
      <c r="J437" s="136" t="str">
        <f t="shared" si="12"/>
        <v/>
      </c>
      <c r="Q437" s="220" t="str">
        <f t="shared" si="13"/>
        <v/>
      </c>
    </row>
    <row r="438" spans="10:17">
      <c r="J438" s="136" t="str">
        <f t="shared" si="12"/>
        <v/>
      </c>
      <c r="Q438" s="220" t="str">
        <f t="shared" si="13"/>
        <v/>
      </c>
    </row>
    <row r="439" spans="10:17">
      <c r="J439" s="136" t="str">
        <f t="shared" si="12"/>
        <v/>
      </c>
      <c r="Q439" s="220" t="str">
        <f t="shared" si="13"/>
        <v/>
      </c>
    </row>
    <row r="440" spans="10:17">
      <c r="J440" s="136" t="str">
        <f t="shared" si="12"/>
        <v/>
      </c>
      <c r="Q440" s="220" t="str">
        <f t="shared" si="13"/>
        <v/>
      </c>
    </row>
    <row r="441" spans="10:17">
      <c r="J441" s="136" t="str">
        <f t="shared" si="12"/>
        <v/>
      </c>
      <c r="Q441" s="220" t="str">
        <f t="shared" si="13"/>
        <v/>
      </c>
    </row>
    <row r="442" spans="10:17">
      <c r="J442" s="136" t="str">
        <f t="shared" si="12"/>
        <v/>
      </c>
      <c r="Q442" s="220" t="str">
        <f t="shared" si="13"/>
        <v/>
      </c>
    </row>
    <row r="443" spans="10:17">
      <c r="J443" s="136" t="str">
        <f t="shared" si="12"/>
        <v/>
      </c>
      <c r="Q443" s="220" t="str">
        <f t="shared" si="13"/>
        <v/>
      </c>
    </row>
    <row r="444" spans="10:17">
      <c r="J444" s="136" t="str">
        <f t="shared" si="12"/>
        <v/>
      </c>
      <c r="Q444" s="220" t="str">
        <f t="shared" si="13"/>
        <v/>
      </c>
    </row>
    <row r="445" spans="10:17">
      <c r="J445" s="136" t="str">
        <f t="shared" si="12"/>
        <v/>
      </c>
      <c r="Q445" s="220" t="str">
        <f t="shared" si="13"/>
        <v/>
      </c>
    </row>
    <row r="446" spans="10:17">
      <c r="J446" s="136" t="str">
        <f t="shared" si="12"/>
        <v/>
      </c>
      <c r="Q446" s="220" t="str">
        <f t="shared" si="13"/>
        <v/>
      </c>
    </row>
    <row r="447" spans="10:17">
      <c r="J447" s="136" t="str">
        <f t="shared" si="12"/>
        <v/>
      </c>
      <c r="Q447" s="220" t="str">
        <f t="shared" si="13"/>
        <v/>
      </c>
    </row>
    <row r="448" spans="10:17">
      <c r="J448" s="136" t="str">
        <f t="shared" si="12"/>
        <v/>
      </c>
      <c r="Q448" s="220" t="str">
        <f t="shared" si="13"/>
        <v/>
      </c>
    </row>
    <row r="449" spans="10:17">
      <c r="J449" s="136" t="str">
        <f t="shared" si="12"/>
        <v/>
      </c>
      <c r="Q449" s="220" t="str">
        <f t="shared" si="13"/>
        <v/>
      </c>
    </row>
    <row r="450" spans="10:17">
      <c r="J450" s="136" t="str">
        <f t="shared" si="12"/>
        <v/>
      </c>
      <c r="Q450" s="220" t="str">
        <f t="shared" si="13"/>
        <v/>
      </c>
    </row>
    <row r="451" spans="10:17">
      <c r="J451" s="136" t="str">
        <f t="shared" si="12"/>
        <v/>
      </c>
      <c r="Q451" s="220" t="str">
        <f t="shared" si="13"/>
        <v/>
      </c>
    </row>
    <row r="452" spans="10:17">
      <c r="J452" s="136" t="str">
        <f t="shared" si="12"/>
        <v/>
      </c>
      <c r="Q452" s="220" t="str">
        <f t="shared" si="13"/>
        <v/>
      </c>
    </row>
    <row r="453" spans="10:17">
      <c r="J453" s="136" t="str">
        <f t="shared" si="12"/>
        <v/>
      </c>
      <c r="Q453" s="220" t="str">
        <f t="shared" si="13"/>
        <v/>
      </c>
    </row>
    <row r="454" spans="10:17">
      <c r="J454" s="136" t="str">
        <f t="shared" si="12"/>
        <v/>
      </c>
      <c r="Q454" s="220" t="str">
        <f t="shared" si="13"/>
        <v/>
      </c>
    </row>
    <row r="455" spans="10:17">
      <c r="J455" s="136" t="str">
        <f t="shared" si="12"/>
        <v/>
      </c>
      <c r="Q455" s="220" t="str">
        <f t="shared" si="13"/>
        <v/>
      </c>
    </row>
    <row r="456" spans="10:17">
      <c r="J456" s="136" t="str">
        <f t="shared" si="12"/>
        <v/>
      </c>
      <c r="Q456" s="220" t="str">
        <f t="shared" si="13"/>
        <v/>
      </c>
    </row>
    <row r="457" spans="10:17">
      <c r="J457" s="136" t="str">
        <f t="shared" si="12"/>
        <v/>
      </c>
      <c r="Q457" s="220" t="str">
        <f t="shared" si="13"/>
        <v/>
      </c>
    </row>
    <row r="458" spans="10:17">
      <c r="J458" s="136" t="str">
        <f t="shared" si="12"/>
        <v/>
      </c>
      <c r="Q458" s="220" t="str">
        <f t="shared" si="13"/>
        <v/>
      </c>
    </row>
    <row r="459" spans="10:17">
      <c r="J459" s="136" t="str">
        <f t="shared" si="12"/>
        <v/>
      </c>
      <c r="Q459" s="220" t="str">
        <f t="shared" si="13"/>
        <v/>
      </c>
    </row>
    <row r="460" spans="10:17">
      <c r="J460" s="136" t="str">
        <f t="shared" si="12"/>
        <v/>
      </c>
      <c r="Q460" s="220" t="str">
        <f t="shared" si="13"/>
        <v/>
      </c>
    </row>
    <row r="461" spans="10:17">
      <c r="J461" s="136" t="str">
        <f t="shared" si="12"/>
        <v/>
      </c>
      <c r="Q461" s="220" t="str">
        <f t="shared" si="13"/>
        <v/>
      </c>
    </row>
    <row r="462" spans="10:17">
      <c r="J462" s="136" t="str">
        <f t="shared" si="12"/>
        <v/>
      </c>
      <c r="Q462" s="220" t="str">
        <f t="shared" si="13"/>
        <v/>
      </c>
    </row>
    <row r="463" spans="10:17">
      <c r="J463" s="136" t="str">
        <f t="shared" ref="J463:J526" si="14">IF(D463+G463+I463,D463*G463*I463,"")</f>
        <v/>
      </c>
      <c r="Q463" s="220" t="str">
        <f t="shared" ref="Q463:Q526" si="15">IF(N463+O463+P463,N463*O463*P463,"")</f>
        <v/>
      </c>
    </row>
    <row r="464" spans="10:17">
      <c r="J464" s="136" t="str">
        <f t="shared" si="14"/>
        <v/>
      </c>
      <c r="Q464" s="220" t="str">
        <f t="shared" si="15"/>
        <v/>
      </c>
    </row>
    <row r="465" spans="10:17">
      <c r="J465" s="136" t="str">
        <f t="shared" si="14"/>
        <v/>
      </c>
      <c r="Q465" s="220" t="str">
        <f t="shared" si="15"/>
        <v/>
      </c>
    </row>
    <row r="466" spans="10:17">
      <c r="J466" s="136" t="str">
        <f t="shared" si="14"/>
        <v/>
      </c>
      <c r="Q466" s="220" t="str">
        <f t="shared" si="15"/>
        <v/>
      </c>
    </row>
    <row r="467" spans="10:17">
      <c r="J467" s="136" t="str">
        <f t="shared" si="14"/>
        <v/>
      </c>
      <c r="Q467" s="220" t="str">
        <f t="shared" si="15"/>
        <v/>
      </c>
    </row>
    <row r="468" spans="10:17">
      <c r="J468" s="136" t="str">
        <f t="shared" si="14"/>
        <v/>
      </c>
      <c r="Q468" s="220" t="str">
        <f t="shared" si="15"/>
        <v/>
      </c>
    </row>
    <row r="469" spans="10:17">
      <c r="J469" s="136" t="str">
        <f t="shared" si="14"/>
        <v/>
      </c>
      <c r="Q469" s="220" t="str">
        <f t="shared" si="15"/>
        <v/>
      </c>
    </row>
    <row r="470" spans="10:17">
      <c r="J470" s="136" t="str">
        <f t="shared" si="14"/>
        <v/>
      </c>
      <c r="Q470" s="220" t="str">
        <f t="shared" si="15"/>
        <v/>
      </c>
    </row>
    <row r="471" spans="10:17">
      <c r="J471" s="136" t="str">
        <f t="shared" si="14"/>
        <v/>
      </c>
      <c r="Q471" s="220" t="str">
        <f t="shared" si="15"/>
        <v/>
      </c>
    </row>
    <row r="472" spans="10:17">
      <c r="J472" s="136" t="str">
        <f t="shared" si="14"/>
        <v/>
      </c>
      <c r="Q472" s="220" t="str">
        <f t="shared" si="15"/>
        <v/>
      </c>
    </row>
    <row r="473" spans="10:17">
      <c r="J473" s="136" t="str">
        <f t="shared" si="14"/>
        <v/>
      </c>
      <c r="Q473" s="220" t="str">
        <f t="shared" si="15"/>
        <v/>
      </c>
    </row>
    <row r="474" spans="10:17">
      <c r="J474" s="136" t="str">
        <f t="shared" si="14"/>
        <v/>
      </c>
      <c r="Q474" s="220" t="str">
        <f t="shared" si="15"/>
        <v/>
      </c>
    </row>
    <row r="475" spans="10:17">
      <c r="J475" s="136" t="str">
        <f t="shared" si="14"/>
        <v/>
      </c>
      <c r="Q475" s="220" t="str">
        <f t="shared" si="15"/>
        <v/>
      </c>
    </row>
    <row r="476" spans="10:17">
      <c r="J476" s="136" t="str">
        <f t="shared" si="14"/>
        <v/>
      </c>
      <c r="Q476" s="220" t="str">
        <f t="shared" si="15"/>
        <v/>
      </c>
    </row>
    <row r="477" spans="10:17">
      <c r="J477" s="136" t="str">
        <f t="shared" si="14"/>
        <v/>
      </c>
      <c r="Q477" s="220" t="str">
        <f t="shared" si="15"/>
        <v/>
      </c>
    </row>
    <row r="478" spans="10:17">
      <c r="J478" s="136" t="str">
        <f t="shared" si="14"/>
        <v/>
      </c>
      <c r="Q478" s="220" t="str">
        <f t="shared" si="15"/>
        <v/>
      </c>
    </row>
    <row r="479" spans="10:17">
      <c r="J479" s="136" t="str">
        <f t="shared" si="14"/>
        <v/>
      </c>
      <c r="Q479" s="220" t="str">
        <f t="shared" si="15"/>
        <v/>
      </c>
    </row>
    <row r="480" spans="10:17">
      <c r="J480" s="136" t="str">
        <f t="shared" si="14"/>
        <v/>
      </c>
      <c r="Q480" s="220" t="str">
        <f t="shared" si="15"/>
        <v/>
      </c>
    </row>
    <row r="481" spans="10:17">
      <c r="J481" s="136" t="str">
        <f t="shared" si="14"/>
        <v/>
      </c>
      <c r="Q481" s="220" t="str">
        <f t="shared" si="15"/>
        <v/>
      </c>
    </row>
    <row r="482" spans="10:17">
      <c r="J482" s="136" t="str">
        <f t="shared" si="14"/>
        <v/>
      </c>
      <c r="Q482" s="220" t="str">
        <f t="shared" si="15"/>
        <v/>
      </c>
    </row>
    <row r="483" spans="10:17">
      <c r="J483" s="136" t="str">
        <f t="shared" si="14"/>
        <v/>
      </c>
      <c r="Q483" s="220" t="str">
        <f t="shared" si="15"/>
        <v/>
      </c>
    </row>
    <row r="484" spans="10:17">
      <c r="J484" s="136" t="str">
        <f t="shared" si="14"/>
        <v/>
      </c>
      <c r="Q484" s="220" t="str">
        <f t="shared" si="15"/>
        <v/>
      </c>
    </row>
    <row r="485" spans="10:17">
      <c r="J485" s="136" t="str">
        <f t="shared" si="14"/>
        <v/>
      </c>
      <c r="Q485" s="220" t="str">
        <f t="shared" si="15"/>
        <v/>
      </c>
    </row>
    <row r="486" spans="10:17">
      <c r="J486" s="136" t="str">
        <f t="shared" si="14"/>
        <v/>
      </c>
      <c r="Q486" s="220" t="str">
        <f t="shared" si="15"/>
        <v/>
      </c>
    </row>
    <row r="487" spans="10:17">
      <c r="J487" s="136" t="str">
        <f t="shared" si="14"/>
        <v/>
      </c>
      <c r="Q487" s="220" t="str">
        <f t="shared" si="15"/>
        <v/>
      </c>
    </row>
    <row r="488" spans="10:17">
      <c r="J488" s="136" t="str">
        <f t="shared" si="14"/>
        <v/>
      </c>
      <c r="Q488" s="220" t="str">
        <f t="shared" si="15"/>
        <v/>
      </c>
    </row>
    <row r="489" spans="10:17">
      <c r="J489" s="136" t="str">
        <f t="shared" si="14"/>
        <v/>
      </c>
      <c r="Q489" s="220" t="str">
        <f t="shared" si="15"/>
        <v/>
      </c>
    </row>
    <row r="490" spans="10:17">
      <c r="J490" s="136" t="str">
        <f t="shared" si="14"/>
        <v/>
      </c>
      <c r="Q490" s="220" t="str">
        <f t="shared" si="15"/>
        <v/>
      </c>
    </row>
    <row r="491" spans="10:17">
      <c r="J491" s="136" t="str">
        <f t="shared" si="14"/>
        <v/>
      </c>
      <c r="Q491" s="220" t="str">
        <f t="shared" si="15"/>
        <v/>
      </c>
    </row>
    <row r="492" spans="10:17">
      <c r="J492" s="136" t="str">
        <f t="shared" si="14"/>
        <v/>
      </c>
      <c r="Q492" s="220" t="str">
        <f t="shared" si="15"/>
        <v/>
      </c>
    </row>
    <row r="493" spans="10:17">
      <c r="J493" s="136" t="str">
        <f t="shared" si="14"/>
        <v/>
      </c>
      <c r="Q493" s="220" t="str">
        <f t="shared" si="15"/>
        <v/>
      </c>
    </row>
    <row r="494" spans="10:17">
      <c r="J494" s="136" t="str">
        <f t="shared" si="14"/>
        <v/>
      </c>
      <c r="Q494" s="220" t="str">
        <f t="shared" si="15"/>
        <v/>
      </c>
    </row>
    <row r="495" spans="10:17">
      <c r="J495" s="136" t="str">
        <f t="shared" si="14"/>
        <v/>
      </c>
      <c r="Q495" s="220" t="str">
        <f t="shared" si="15"/>
        <v/>
      </c>
    </row>
    <row r="496" spans="10:17">
      <c r="J496" s="136" t="str">
        <f t="shared" si="14"/>
        <v/>
      </c>
      <c r="Q496" s="220" t="str">
        <f t="shared" si="15"/>
        <v/>
      </c>
    </row>
    <row r="497" spans="10:17">
      <c r="J497" s="136" t="str">
        <f t="shared" si="14"/>
        <v/>
      </c>
      <c r="Q497" s="220" t="str">
        <f t="shared" si="15"/>
        <v/>
      </c>
    </row>
    <row r="498" spans="10:17">
      <c r="J498" s="136" t="str">
        <f t="shared" si="14"/>
        <v/>
      </c>
      <c r="Q498" s="220" t="str">
        <f t="shared" si="15"/>
        <v/>
      </c>
    </row>
    <row r="499" spans="10:17">
      <c r="J499" s="136" t="str">
        <f t="shared" si="14"/>
        <v/>
      </c>
      <c r="Q499" s="220" t="str">
        <f t="shared" si="15"/>
        <v/>
      </c>
    </row>
    <row r="500" spans="10:17">
      <c r="J500" s="136" t="str">
        <f t="shared" si="14"/>
        <v/>
      </c>
      <c r="Q500" s="220" t="str">
        <f t="shared" si="15"/>
        <v/>
      </c>
    </row>
    <row r="501" spans="10:17">
      <c r="J501" s="136" t="str">
        <f t="shared" si="14"/>
        <v/>
      </c>
      <c r="Q501" s="220" t="str">
        <f t="shared" si="15"/>
        <v/>
      </c>
    </row>
    <row r="502" spans="10:17">
      <c r="J502" s="136" t="str">
        <f t="shared" si="14"/>
        <v/>
      </c>
      <c r="Q502" s="220" t="str">
        <f t="shared" si="15"/>
        <v/>
      </c>
    </row>
    <row r="503" spans="10:17">
      <c r="J503" s="136" t="str">
        <f t="shared" si="14"/>
        <v/>
      </c>
      <c r="Q503" s="220" t="str">
        <f t="shared" si="15"/>
        <v/>
      </c>
    </row>
    <row r="504" spans="10:17">
      <c r="J504" s="136" t="str">
        <f t="shared" si="14"/>
        <v/>
      </c>
      <c r="Q504" s="220" t="str">
        <f t="shared" si="15"/>
        <v/>
      </c>
    </row>
    <row r="505" spans="10:17">
      <c r="J505" s="136" t="str">
        <f t="shared" si="14"/>
        <v/>
      </c>
      <c r="Q505" s="220" t="str">
        <f t="shared" si="15"/>
        <v/>
      </c>
    </row>
    <row r="506" spans="10:17">
      <c r="J506" s="136" t="str">
        <f t="shared" si="14"/>
        <v/>
      </c>
      <c r="Q506" s="220" t="str">
        <f t="shared" si="15"/>
        <v/>
      </c>
    </row>
    <row r="507" spans="10:17">
      <c r="J507" s="136" t="str">
        <f t="shared" si="14"/>
        <v/>
      </c>
      <c r="Q507" s="220" t="str">
        <f t="shared" si="15"/>
        <v/>
      </c>
    </row>
    <row r="508" spans="10:17">
      <c r="J508" s="136" t="str">
        <f t="shared" si="14"/>
        <v/>
      </c>
      <c r="Q508" s="220" t="str">
        <f t="shared" si="15"/>
        <v/>
      </c>
    </row>
    <row r="509" spans="10:17">
      <c r="J509" s="136" t="str">
        <f t="shared" si="14"/>
        <v/>
      </c>
      <c r="Q509" s="220" t="str">
        <f t="shared" si="15"/>
        <v/>
      </c>
    </row>
    <row r="510" spans="10:17">
      <c r="J510" s="136" t="str">
        <f t="shared" si="14"/>
        <v/>
      </c>
      <c r="Q510" s="220" t="str">
        <f t="shared" si="15"/>
        <v/>
      </c>
    </row>
    <row r="511" spans="10:17">
      <c r="J511" s="136" t="str">
        <f t="shared" si="14"/>
        <v/>
      </c>
      <c r="Q511" s="220" t="str">
        <f t="shared" si="15"/>
        <v/>
      </c>
    </row>
    <row r="512" spans="10:17">
      <c r="J512" s="136" t="str">
        <f t="shared" si="14"/>
        <v/>
      </c>
      <c r="Q512" s="220" t="str">
        <f t="shared" si="15"/>
        <v/>
      </c>
    </row>
    <row r="513" spans="10:17">
      <c r="J513" s="136" t="str">
        <f t="shared" si="14"/>
        <v/>
      </c>
      <c r="Q513" s="220" t="str">
        <f t="shared" si="15"/>
        <v/>
      </c>
    </row>
    <row r="514" spans="10:17">
      <c r="J514" s="136" t="str">
        <f t="shared" si="14"/>
        <v/>
      </c>
      <c r="Q514" s="220" t="str">
        <f t="shared" si="15"/>
        <v/>
      </c>
    </row>
    <row r="515" spans="10:17">
      <c r="J515" s="136" t="str">
        <f t="shared" si="14"/>
        <v/>
      </c>
      <c r="Q515" s="220" t="str">
        <f t="shared" si="15"/>
        <v/>
      </c>
    </row>
    <row r="516" spans="10:17">
      <c r="J516" s="136" t="str">
        <f t="shared" si="14"/>
        <v/>
      </c>
      <c r="Q516" s="220" t="str">
        <f t="shared" si="15"/>
        <v/>
      </c>
    </row>
    <row r="517" spans="10:17">
      <c r="J517" s="136" t="str">
        <f t="shared" si="14"/>
        <v/>
      </c>
      <c r="Q517" s="220" t="str">
        <f t="shared" si="15"/>
        <v/>
      </c>
    </row>
    <row r="518" spans="10:17">
      <c r="J518" s="136" t="str">
        <f t="shared" si="14"/>
        <v/>
      </c>
      <c r="Q518" s="220" t="str">
        <f t="shared" si="15"/>
        <v/>
      </c>
    </row>
    <row r="519" spans="10:17">
      <c r="J519" s="136" t="str">
        <f t="shared" si="14"/>
        <v/>
      </c>
      <c r="Q519" s="220" t="str">
        <f t="shared" si="15"/>
        <v/>
      </c>
    </row>
    <row r="520" spans="10:17">
      <c r="J520" s="136" t="str">
        <f t="shared" si="14"/>
        <v/>
      </c>
      <c r="Q520" s="220" t="str">
        <f t="shared" si="15"/>
        <v/>
      </c>
    </row>
    <row r="521" spans="10:17">
      <c r="J521" s="136" t="str">
        <f t="shared" si="14"/>
        <v/>
      </c>
      <c r="Q521" s="220" t="str">
        <f t="shared" si="15"/>
        <v/>
      </c>
    </row>
    <row r="522" spans="10:17">
      <c r="J522" s="136" t="str">
        <f t="shared" si="14"/>
        <v/>
      </c>
      <c r="Q522" s="220" t="str">
        <f t="shared" si="15"/>
        <v/>
      </c>
    </row>
    <row r="523" spans="10:17">
      <c r="J523" s="136" t="str">
        <f t="shared" si="14"/>
        <v/>
      </c>
      <c r="Q523" s="220" t="str">
        <f t="shared" si="15"/>
        <v/>
      </c>
    </row>
    <row r="524" spans="10:17">
      <c r="J524" s="136" t="str">
        <f t="shared" si="14"/>
        <v/>
      </c>
      <c r="Q524" s="220" t="str">
        <f t="shared" si="15"/>
        <v/>
      </c>
    </row>
    <row r="525" spans="10:17">
      <c r="J525" s="136" t="str">
        <f t="shared" si="14"/>
        <v/>
      </c>
      <c r="Q525" s="220" t="str">
        <f t="shared" si="15"/>
        <v/>
      </c>
    </row>
    <row r="526" spans="10:17">
      <c r="J526" s="136" t="str">
        <f t="shared" si="14"/>
        <v/>
      </c>
      <c r="Q526" s="220" t="str">
        <f t="shared" si="15"/>
        <v/>
      </c>
    </row>
    <row r="527" spans="10:17">
      <c r="J527" s="136" t="str">
        <f t="shared" ref="J527:J590" si="16">IF(D527+G527+I527,D527*G527*I527,"")</f>
        <v/>
      </c>
      <c r="Q527" s="220" t="str">
        <f t="shared" ref="Q527:Q590" si="17">IF(N527+O527+P527,N527*O527*P527,"")</f>
        <v/>
      </c>
    </row>
    <row r="528" spans="10:17">
      <c r="J528" s="136" t="str">
        <f t="shared" si="16"/>
        <v/>
      </c>
      <c r="Q528" s="220" t="str">
        <f t="shared" si="17"/>
        <v/>
      </c>
    </row>
    <row r="529" spans="10:17">
      <c r="J529" s="136" t="str">
        <f t="shared" si="16"/>
        <v/>
      </c>
      <c r="Q529" s="220" t="str">
        <f t="shared" si="17"/>
        <v/>
      </c>
    </row>
    <row r="530" spans="10:17">
      <c r="J530" s="136" t="str">
        <f t="shared" si="16"/>
        <v/>
      </c>
      <c r="Q530" s="220" t="str">
        <f t="shared" si="17"/>
        <v/>
      </c>
    </row>
    <row r="531" spans="10:17">
      <c r="J531" s="136" t="str">
        <f t="shared" si="16"/>
        <v/>
      </c>
      <c r="Q531" s="220" t="str">
        <f t="shared" si="17"/>
        <v/>
      </c>
    </row>
    <row r="532" spans="10:17">
      <c r="J532" s="136" t="str">
        <f t="shared" si="16"/>
        <v/>
      </c>
      <c r="Q532" s="220" t="str">
        <f t="shared" si="17"/>
        <v/>
      </c>
    </row>
    <row r="533" spans="10:17">
      <c r="J533" s="136" t="str">
        <f t="shared" si="16"/>
        <v/>
      </c>
      <c r="Q533" s="220" t="str">
        <f t="shared" si="17"/>
        <v/>
      </c>
    </row>
    <row r="534" spans="10:17">
      <c r="J534" s="136" t="str">
        <f t="shared" si="16"/>
        <v/>
      </c>
      <c r="Q534" s="220" t="str">
        <f t="shared" si="17"/>
        <v/>
      </c>
    </row>
    <row r="535" spans="10:17">
      <c r="J535" s="136" t="str">
        <f t="shared" si="16"/>
        <v/>
      </c>
      <c r="Q535" s="220" t="str">
        <f t="shared" si="17"/>
        <v/>
      </c>
    </row>
    <row r="536" spans="10:17">
      <c r="J536" s="136" t="str">
        <f t="shared" si="16"/>
        <v/>
      </c>
      <c r="Q536" s="220" t="str">
        <f t="shared" si="17"/>
        <v/>
      </c>
    </row>
    <row r="537" spans="10:17">
      <c r="J537" s="136" t="str">
        <f t="shared" si="16"/>
        <v/>
      </c>
      <c r="Q537" s="220" t="str">
        <f t="shared" si="17"/>
        <v/>
      </c>
    </row>
    <row r="538" spans="10:17">
      <c r="J538" s="136" t="str">
        <f t="shared" si="16"/>
        <v/>
      </c>
      <c r="Q538" s="220" t="str">
        <f t="shared" si="17"/>
        <v/>
      </c>
    </row>
    <row r="539" spans="10:17">
      <c r="J539" s="136" t="str">
        <f t="shared" si="16"/>
        <v/>
      </c>
      <c r="Q539" s="220" t="str">
        <f t="shared" si="17"/>
        <v/>
      </c>
    </row>
    <row r="540" spans="10:17">
      <c r="J540" s="136" t="str">
        <f t="shared" si="16"/>
        <v/>
      </c>
      <c r="Q540" s="220" t="str">
        <f t="shared" si="17"/>
        <v/>
      </c>
    </row>
    <row r="541" spans="10:17">
      <c r="J541" s="136" t="str">
        <f t="shared" si="16"/>
        <v/>
      </c>
      <c r="Q541" s="220" t="str">
        <f t="shared" si="17"/>
        <v/>
      </c>
    </row>
    <row r="542" spans="10:17">
      <c r="J542" s="136" t="str">
        <f t="shared" si="16"/>
        <v/>
      </c>
      <c r="Q542" s="220" t="str">
        <f t="shared" si="17"/>
        <v/>
      </c>
    </row>
    <row r="543" spans="10:17">
      <c r="J543" s="136" t="str">
        <f t="shared" si="16"/>
        <v/>
      </c>
      <c r="Q543" s="220" t="str">
        <f t="shared" si="17"/>
        <v/>
      </c>
    </row>
    <row r="544" spans="10:17">
      <c r="J544" s="136" t="str">
        <f t="shared" si="16"/>
        <v/>
      </c>
      <c r="Q544" s="220" t="str">
        <f t="shared" si="17"/>
        <v/>
      </c>
    </row>
    <row r="545" spans="10:17">
      <c r="J545" s="136" t="str">
        <f t="shared" si="16"/>
        <v/>
      </c>
      <c r="Q545" s="220" t="str">
        <f t="shared" si="17"/>
        <v/>
      </c>
    </row>
    <row r="546" spans="10:17">
      <c r="J546" s="136" t="str">
        <f t="shared" si="16"/>
        <v/>
      </c>
      <c r="Q546" s="220" t="str">
        <f t="shared" si="17"/>
        <v/>
      </c>
    </row>
    <row r="547" spans="10:17">
      <c r="J547" s="136" t="str">
        <f t="shared" si="16"/>
        <v/>
      </c>
      <c r="Q547" s="220" t="str">
        <f t="shared" si="17"/>
        <v/>
      </c>
    </row>
    <row r="548" spans="10:17">
      <c r="J548" s="136" t="str">
        <f t="shared" si="16"/>
        <v/>
      </c>
      <c r="Q548" s="220" t="str">
        <f t="shared" si="17"/>
        <v/>
      </c>
    </row>
    <row r="549" spans="10:17">
      <c r="J549" s="136" t="str">
        <f t="shared" si="16"/>
        <v/>
      </c>
      <c r="Q549" s="220" t="str">
        <f t="shared" si="17"/>
        <v/>
      </c>
    </row>
    <row r="550" spans="10:17">
      <c r="J550" s="136" t="str">
        <f t="shared" si="16"/>
        <v/>
      </c>
      <c r="Q550" s="220" t="str">
        <f t="shared" si="17"/>
        <v/>
      </c>
    </row>
    <row r="551" spans="10:17">
      <c r="J551" s="136" t="str">
        <f t="shared" si="16"/>
        <v/>
      </c>
      <c r="Q551" s="220" t="str">
        <f t="shared" si="17"/>
        <v/>
      </c>
    </row>
    <row r="552" spans="10:17">
      <c r="J552" s="136" t="str">
        <f t="shared" si="16"/>
        <v/>
      </c>
      <c r="Q552" s="220" t="str">
        <f t="shared" si="17"/>
        <v/>
      </c>
    </row>
    <row r="553" spans="10:17">
      <c r="J553" s="136" t="str">
        <f t="shared" si="16"/>
        <v/>
      </c>
      <c r="Q553" s="220" t="str">
        <f t="shared" si="17"/>
        <v/>
      </c>
    </row>
    <row r="554" spans="10:17">
      <c r="J554" s="136" t="str">
        <f t="shared" si="16"/>
        <v/>
      </c>
      <c r="Q554" s="220" t="str">
        <f t="shared" si="17"/>
        <v/>
      </c>
    </row>
    <row r="555" spans="10:17">
      <c r="J555" s="136" t="str">
        <f t="shared" si="16"/>
        <v/>
      </c>
      <c r="Q555" s="220" t="str">
        <f t="shared" si="17"/>
        <v/>
      </c>
    </row>
    <row r="556" spans="10:17">
      <c r="J556" s="136" t="str">
        <f t="shared" si="16"/>
        <v/>
      </c>
      <c r="Q556" s="220" t="str">
        <f t="shared" si="17"/>
        <v/>
      </c>
    </row>
    <row r="557" spans="10:17">
      <c r="J557" s="136" t="str">
        <f t="shared" si="16"/>
        <v/>
      </c>
      <c r="Q557" s="220" t="str">
        <f t="shared" si="17"/>
        <v/>
      </c>
    </row>
    <row r="558" spans="10:17">
      <c r="J558" s="136" t="str">
        <f t="shared" si="16"/>
        <v/>
      </c>
      <c r="Q558" s="220" t="str">
        <f t="shared" si="17"/>
        <v/>
      </c>
    </row>
    <row r="559" spans="10:17">
      <c r="J559" s="136" t="str">
        <f t="shared" si="16"/>
        <v/>
      </c>
      <c r="Q559" s="220" t="str">
        <f t="shared" si="17"/>
        <v/>
      </c>
    </row>
    <row r="560" spans="10:17">
      <c r="J560" s="136" t="str">
        <f t="shared" si="16"/>
        <v/>
      </c>
      <c r="Q560" s="220" t="str">
        <f t="shared" si="17"/>
        <v/>
      </c>
    </row>
    <row r="561" spans="10:17">
      <c r="J561" s="136" t="str">
        <f t="shared" si="16"/>
        <v/>
      </c>
      <c r="Q561" s="220" t="str">
        <f t="shared" si="17"/>
        <v/>
      </c>
    </row>
    <row r="562" spans="10:17">
      <c r="J562" s="136" t="str">
        <f t="shared" si="16"/>
        <v/>
      </c>
      <c r="Q562" s="220" t="str">
        <f t="shared" si="17"/>
        <v/>
      </c>
    </row>
    <row r="563" spans="10:17">
      <c r="J563" s="136" t="str">
        <f t="shared" si="16"/>
        <v/>
      </c>
      <c r="Q563" s="220" t="str">
        <f t="shared" si="17"/>
        <v/>
      </c>
    </row>
    <row r="564" spans="10:17">
      <c r="J564" s="136" t="str">
        <f t="shared" si="16"/>
        <v/>
      </c>
      <c r="Q564" s="220" t="str">
        <f t="shared" si="17"/>
        <v/>
      </c>
    </row>
    <row r="565" spans="10:17">
      <c r="J565" s="136" t="str">
        <f t="shared" si="16"/>
        <v/>
      </c>
      <c r="Q565" s="220" t="str">
        <f t="shared" si="17"/>
        <v/>
      </c>
    </row>
    <row r="566" spans="10:17">
      <c r="J566" s="136" t="str">
        <f t="shared" si="16"/>
        <v/>
      </c>
      <c r="Q566" s="220" t="str">
        <f t="shared" si="17"/>
        <v/>
      </c>
    </row>
    <row r="567" spans="10:17">
      <c r="J567" s="136" t="str">
        <f t="shared" si="16"/>
        <v/>
      </c>
      <c r="Q567" s="220" t="str">
        <f t="shared" si="17"/>
        <v/>
      </c>
    </row>
    <row r="568" spans="10:17">
      <c r="J568" s="136" t="str">
        <f t="shared" si="16"/>
        <v/>
      </c>
      <c r="Q568" s="220" t="str">
        <f t="shared" si="17"/>
        <v/>
      </c>
    </row>
    <row r="569" spans="10:17">
      <c r="J569" s="136" t="str">
        <f t="shared" si="16"/>
        <v/>
      </c>
      <c r="Q569" s="220" t="str">
        <f t="shared" si="17"/>
        <v/>
      </c>
    </row>
    <row r="570" spans="10:17">
      <c r="J570" s="136" t="str">
        <f t="shared" si="16"/>
        <v/>
      </c>
      <c r="Q570" s="220" t="str">
        <f t="shared" si="17"/>
        <v/>
      </c>
    </row>
    <row r="571" spans="10:17">
      <c r="J571" s="136" t="str">
        <f t="shared" si="16"/>
        <v/>
      </c>
      <c r="Q571" s="220" t="str">
        <f t="shared" si="17"/>
        <v/>
      </c>
    </row>
    <row r="572" spans="10:17">
      <c r="J572" s="136" t="str">
        <f t="shared" si="16"/>
        <v/>
      </c>
      <c r="Q572" s="220" t="str">
        <f t="shared" si="17"/>
        <v/>
      </c>
    </row>
    <row r="573" spans="10:17">
      <c r="J573" s="136" t="str">
        <f t="shared" si="16"/>
        <v/>
      </c>
      <c r="Q573" s="220" t="str">
        <f t="shared" si="17"/>
        <v/>
      </c>
    </row>
    <row r="574" spans="10:17">
      <c r="J574" s="136" t="str">
        <f t="shared" si="16"/>
        <v/>
      </c>
      <c r="Q574" s="220" t="str">
        <f t="shared" si="17"/>
        <v/>
      </c>
    </row>
    <row r="575" spans="10:17">
      <c r="J575" s="136" t="str">
        <f t="shared" si="16"/>
        <v/>
      </c>
      <c r="Q575" s="220" t="str">
        <f t="shared" si="17"/>
        <v/>
      </c>
    </row>
    <row r="576" spans="10:17">
      <c r="J576" s="136" t="str">
        <f t="shared" si="16"/>
        <v/>
      </c>
      <c r="Q576" s="220" t="str">
        <f t="shared" si="17"/>
        <v/>
      </c>
    </row>
    <row r="577" spans="10:17">
      <c r="J577" s="136" t="str">
        <f t="shared" si="16"/>
        <v/>
      </c>
      <c r="Q577" s="220" t="str">
        <f t="shared" si="17"/>
        <v/>
      </c>
    </row>
    <row r="578" spans="10:17">
      <c r="J578" s="136" t="str">
        <f t="shared" si="16"/>
        <v/>
      </c>
      <c r="Q578" s="220" t="str">
        <f t="shared" si="17"/>
        <v/>
      </c>
    </row>
    <row r="579" spans="10:17">
      <c r="J579" s="136" t="str">
        <f t="shared" si="16"/>
        <v/>
      </c>
      <c r="Q579" s="220" t="str">
        <f t="shared" si="17"/>
        <v/>
      </c>
    </row>
    <row r="580" spans="10:17">
      <c r="J580" s="136" t="str">
        <f t="shared" si="16"/>
        <v/>
      </c>
      <c r="Q580" s="220" t="str">
        <f t="shared" si="17"/>
        <v/>
      </c>
    </row>
    <row r="581" spans="10:17">
      <c r="J581" s="136" t="str">
        <f t="shared" si="16"/>
        <v/>
      </c>
      <c r="Q581" s="220" t="str">
        <f t="shared" si="17"/>
        <v/>
      </c>
    </row>
    <row r="582" spans="10:17">
      <c r="J582" s="136" t="str">
        <f t="shared" si="16"/>
        <v/>
      </c>
      <c r="Q582" s="220" t="str">
        <f t="shared" si="17"/>
        <v/>
      </c>
    </row>
    <row r="583" spans="10:17">
      <c r="J583" s="136" t="str">
        <f t="shared" si="16"/>
        <v/>
      </c>
      <c r="Q583" s="220" t="str">
        <f t="shared" si="17"/>
        <v/>
      </c>
    </row>
    <row r="584" spans="10:17">
      <c r="J584" s="136" t="str">
        <f t="shared" si="16"/>
        <v/>
      </c>
      <c r="Q584" s="220" t="str">
        <f t="shared" si="17"/>
        <v/>
      </c>
    </row>
    <row r="585" spans="10:17">
      <c r="J585" s="136" t="str">
        <f t="shared" si="16"/>
        <v/>
      </c>
      <c r="Q585" s="220" t="str">
        <f t="shared" si="17"/>
        <v/>
      </c>
    </row>
    <row r="586" spans="10:17">
      <c r="J586" s="136" t="str">
        <f t="shared" si="16"/>
        <v/>
      </c>
      <c r="Q586" s="220" t="str">
        <f t="shared" si="17"/>
        <v/>
      </c>
    </row>
    <row r="587" spans="10:17">
      <c r="J587" s="136" t="str">
        <f t="shared" si="16"/>
        <v/>
      </c>
      <c r="Q587" s="220" t="str">
        <f t="shared" si="17"/>
        <v/>
      </c>
    </row>
    <row r="588" spans="10:17">
      <c r="J588" s="136" t="str">
        <f t="shared" si="16"/>
        <v/>
      </c>
      <c r="Q588" s="220" t="str">
        <f t="shared" si="17"/>
        <v/>
      </c>
    </row>
    <row r="589" spans="10:17">
      <c r="J589" s="136" t="str">
        <f t="shared" si="16"/>
        <v/>
      </c>
      <c r="Q589" s="220" t="str">
        <f t="shared" si="17"/>
        <v/>
      </c>
    </row>
    <row r="590" spans="10:17">
      <c r="J590" s="136" t="str">
        <f t="shared" si="16"/>
        <v/>
      </c>
      <c r="Q590" s="220" t="str">
        <f t="shared" si="17"/>
        <v/>
      </c>
    </row>
    <row r="591" spans="10:17">
      <c r="J591" s="136" t="str">
        <f t="shared" ref="J591:J654" si="18">IF(D591+G591+I591,D591*G591*I591,"")</f>
        <v/>
      </c>
      <c r="Q591" s="220" t="str">
        <f t="shared" ref="Q591:Q654" si="19">IF(N591+O591+P591,N591*O591*P591,"")</f>
        <v/>
      </c>
    </row>
    <row r="592" spans="10:17">
      <c r="J592" s="136" t="str">
        <f t="shared" si="18"/>
        <v/>
      </c>
      <c r="Q592" s="220" t="str">
        <f t="shared" si="19"/>
        <v/>
      </c>
    </row>
    <row r="593" spans="10:17">
      <c r="J593" s="136" t="str">
        <f t="shared" si="18"/>
        <v/>
      </c>
      <c r="Q593" s="220" t="str">
        <f t="shared" si="19"/>
        <v/>
      </c>
    </row>
    <row r="594" spans="10:17">
      <c r="J594" s="136" t="str">
        <f t="shared" si="18"/>
        <v/>
      </c>
      <c r="Q594" s="220" t="str">
        <f t="shared" si="19"/>
        <v/>
      </c>
    </row>
    <row r="595" spans="10:17">
      <c r="J595" s="136" t="str">
        <f t="shared" si="18"/>
        <v/>
      </c>
      <c r="Q595" s="220" t="str">
        <f t="shared" si="19"/>
        <v/>
      </c>
    </row>
    <row r="596" spans="10:17">
      <c r="J596" s="136" t="str">
        <f t="shared" si="18"/>
        <v/>
      </c>
      <c r="Q596" s="220" t="str">
        <f t="shared" si="19"/>
        <v/>
      </c>
    </row>
    <row r="597" spans="10:17">
      <c r="J597" s="136" t="str">
        <f t="shared" si="18"/>
        <v/>
      </c>
      <c r="Q597" s="220" t="str">
        <f t="shared" si="19"/>
        <v/>
      </c>
    </row>
    <row r="598" spans="10:17">
      <c r="J598" s="136" t="str">
        <f t="shared" si="18"/>
        <v/>
      </c>
      <c r="Q598" s="220" t="str">
        <f t="shared" si="19"/>
        <v/>
      </c>
    </row>
    <row r="599" spans="10:17">
      <c r="J599" s="136" t="str">
        <f t="shared" si="18"/>
        <v/>
      </c>
      <c r="Q599" s="220" t="str">
        <f t="shared" si="19"/>
        <v/>
      </c>
    </row>
    <row r="600" spans="10:17">
      <c r="J600" s="136" t="str">
        <f t="shared" si="18"/>
        <v/>
      </c>
      <c r="Q600" s="220" t="str">
        <f t="shared" si="19"/>
        <v/>
      </c>
    </row>
    <row r="601" spans="10:17">
      <c r="J601" s="136" t="str">
        <f t="shared" si="18"/>
        <v/>
      </c>
      <c r="Q601" s="220" t="str">
        <f t="shared" si="19"/>
        <v/>
      </c>
    </row>
    <row r="602" spans="10:17">
      <c r="J602" s="136" t="str">
        <f t="shared" si="18"/>
        <v/>
      </c>
      <c r="Q602" s="220" t="str">
        <f t="shared" si="19"/>
        <v/>
      </c>
    </row>
    <row r="603" spans="10:17">
      <c r="J603" s="136" t="str">
        <f t="shared" si="18"/>
        <v/>
      </c>
      <c r="Q603" s="220" t="str">
        <f t="shared" si="19"/>
        <v/>
      </c>
    </row>
    <row r="604" spans="10:17">
      <c r="J604" s="136" t="str">
        <f t="shared" si="18"/>
        <v/>
      </c>
      <c r="Q604" s="220" t="str">
        <f t="shared" si="19"/>
        <v/>
      </c>
    </row>
    <row r="605" spans="10:17">
      <c r="J605" s="136" t="str">
        <f t="shared" si="18"/>
        <v/>
      </c>
      <c r="Q605" s="220" t="str">
        <f t="shared" si="19"/>
        <v/>
      </c>
    </row>
    <row r="606" spans="10:17">
      <c r="J606" s="136" t="str">
        <f t="shared" si="18"/>
        <v/>
      </c>
      <c r="Q606" s="220" t="str">
        <f t="shared" si="19"/>
        <v/>
      </c>
    </row>
    <row r="607" spans="10:17">
      <c r="J607" s="136" t="str">
        <f t="shared" si="18"/>
        <v/>
      </c>
      <c r="Q607" s="220" t="str">
        <f t="shared" si="19"/>
        <v/>
      </c>
    </row>
    <row r="608" spans="10:17">
      <c r="J608" s="136" t="str">
        <f t="shared" si="18"/>
        <v/>
      </c>
      <c r="Q608" s="220" t="str">
        <f t="shared" si="19"/>
        <v/>
      </c>
    </row>
    <row r="609" spans="10:17">
      <c r="J609" s="136" t="str">
        <f t="shared" si="18"/>
        <v/>
      </c>
      <c r="Q609" s="220" t="str">
        <f t="shared" si="19"/>
        <v/>
      </c>
    </row>
    <row r="610" spans="10:17">
      <c r="J610" s="136" t="str">
        <f t="shared" si="18"/>
        <v/>
      </c>
      <c r="Q610" s="220" t="str">
        <f t="shared" si="19"/>
        <v/>
      </c>
    </row>
    <row r="611" spans="10:17">
      <c r="J611" s="136" t="str">
        <f t="shared" si="18"/>
        <v/>
      </c>
      <c r="Q611" s="220" t="str">
        <f t="shared" si="19"/>
        <v/>
      </c>
    </row>
    <row r="612" spans="10:17">
      <c r="J612" s="136" t="str">
        <f t="shared" si="18"/>
        <v/>
      </c>
      <c r="Q612" s="220" t="str">
        <f t="shared" si="19"/>
        <v/>
      </c>
    </row>
    <row r="613" spans="10:17">
      <c r="J613" s="136" t="str">
        <f t="shared" si="18"/>
        <v/>
      </c>
      <c r="Q613" s="220" t="str">
        <f t="shared" si="19"/>
        <v/>
      </c>
    </row>
    <row r="614" spans="10:17">
      <c r="J614" s="136" t="str">
        <f t="shared" si="18"/>
        <v/>
      </c>
      <c r="Q614" s="220" t="str">
        <f t="shared" si="19"/>
        <v/>
      </c>
    </row>
    <row r="615" spans="10:17">
      <c r="J615" s="136" t="str">
        <f t="shared" si="18"/>
        <v/>
      </c>
      <c r="Q615" s="220" t="str">
        <f t="shared" si="19"/>
        <v/>
      </c>
    </row>
    <row r="616" spans="10:17">
      <c r="J616" s="136" t="str">
        <f t="shared" si="18"/>
        <v/>
      </c>
      <c r="Q616" s="220" t="str">
        <f t="shared" si="19"/>
        <v/>
      </c>
    </row>
    <row r="617" spans="10:17">
      <c r="J617" s="136" t="str">
        <f t="shared" si="18"/>
        <v/>
      </c>
      <c r="Q617" s="220" t="str">
        <f t="shared" si="19"/>
        <v/>
      </c>
    </row>
    <row r="618" spans="10:17">
      <c r="J618" s="136" t="str">
        <f t="shared" si="18"/>
        <v/>
      </c>
      <c r="Q618" s="220" t="str">
        <f t="shared" si="19"/>
        <v/>
      </c>
    </row>
    <row r="619" spans="10:17">
      <c r="J619" s="136" t="str">
        <f t="shared" si="18"/>
        <v/>
      </c>
      <c r="Q619" s="220" t="str">
        <f t="shared" si="19"/>
        <v/>
      </c>
    </row>
    <row r="620" spans="10:17">
      <c r="J620" s="136" t="str">
        <f t="shared" si="18"/>
        <v/>
      </c>
      <c r="Q620" s="220" t="str">
        <f t="shared" si="19"/>
        <v/>
      </c>
    </row>
    <row r="621" spans="10:17">
      <c r="J621" s="136" t="str">
        <f t="shared" si="18"/>
        <v/>
      </c>
      <c r="Q621" s="220" t="str">
        <f t="shared" si="19"/>
        <v/>
      </c>
    </row>
    <row r="622" spans="10:17">
      <c r="J622" s="136" t="str">
        <f t="shared" si="18"/>
        <v/>
      </c>
      <c r="Q622" s="220" t="str">
        <f t="shared" si="19"/>
        <v/>
      </c>
    </row>
    <row r="623" spans="10:17">
      <c r="J623" s="136" t="str">
        <f t="shared" si="18"/>
        <v/>
      </c>
      <c r="Q623" s="220" t="str">
        <f t="shared" si="19"/>
        <v/>
      </c>
    </row>
    <row r="624" spans="10:17">
      <c r="J624" s="136" t="str">
        <f t="shared" si="18"/>
        <v/>
      </c>
      <c r="Q624" s="220" t="str">
        <f t="shared" si="19"/>
        <v/>
      </c>
    </row>
    <row r="625" spans="10:17">
      <c r="J625" s="136" t="str">
        <f t="shared" si="18"/>
        <v/>
      </c>
      <c r="Q625" s="220" t="str">
        <f t="shared" si="19"/>
        <v/>
      </c>
    </row>
    <row r="626" spans="10:17">
      <c r="J626" s="136" t="str">
        <f t="shared" si="18"/>
        <v/>
      </c>
      <c r="Q626" s="220" t="str">
        <f t="shared" si="19"/>
        <v/>
      </c>
    </row>
    <row r="627" spans="10:17">
      <c r="J627" s="136" t="str">
        <f t="shared" si="18"/>
        <v/>
      </c>
      <c r="Q627" s="220" t="str">
        <f t="shared" si="19"/>
        <v/>
      </c>
    </row>
    <row r="628" spans="10:17">
      <c r="J628" s="136" t="str">
        <f t="shared" si="18"/>
        <v/>
      </c>
      <c r="Q628" s="220" t="str">
        <f t="shared" si="19"/>
        <v/>
      </c>
    </row>
    <row r="629" spans="10:17">
      <c r="J629" s="136" t="str">
        <f t="shared" si="18"/>
        <v/>
      </c>
      <c r="Q629" s="220" t="str">
        <f t="shared" si="19"/>
        <v/>
      </c>
    </row>
    <row r="630" spans="10:17">
      <c r="J630" s="136" t="str">
        <f t="shared" si="18"/>
        <v/>
      </c>
      <c r="Q630" s="220" t="str">
        <f t="shared" si="19"/>
        <v/>
      </c>
    </row>
    <row r="631" spans="10:17">
      <c r="J631" s="136" t="str">
        <f t="shared" si="18"/>
        <v/>
      </c>
      <c r="Q631" s="220" t="str">
        <f t="shared" si="19"/>
        <v/>
      </c>
    </row>
    <row r="632" spans="10:17">
      <c r="J632" s="136" t="str">
        <f t="shared" si="18"/>
        <v/>
      </c>
      <c r="Q632" s="220" t="str">
        <f t="shared" si="19"/>
        <v/>
      </c>
    </row>
    <row r="633" spans="10:17">
      <c r="J633" s="136" t="str">
        <f t="shared" si="18"/>
        <v/>
      </c>
      <c r="Q633" s="220" t="str">
        <f t="shared" si="19"/>
        <v/>
      </c>
    </row>
    <row r="634" spans="10:17">
      <c r="J634" s="136" t="str">
        <f t="shared" si="18"/>
        <v/>
      </c>
      <c r="Q634" s="220" t="str">
        <f t="shared" si="19"/>
        <v/>
      </c>
    </row>
    <row r="635" spans="10:17">
      <c r="J635" s="136" t="str">
        <f t="shared" si="18"/>
        <v/>
      </c>
      <c r="Q635" s="220" t="str">
        <f t="shared" si="19"/>
        <v/>
      </c>
    </row>
    <row r="636" spans="10:17">
      <c r="J636" s="136" t="str">
        <f t="shared" si="18"/>
        <v/>
      </c>
      <c r="Q636" s="220" t="str">
        <f t="shared" si="19"/>
        <v/>
      </c>
    </row>
    <row r="637" spans="10:17">
      <c r="J637" s="136" t="str">
        <f t="shared" si="18"/>
        <v/>
      </c>
      <c r="Q637" s="220" t="str">
        <f t="shared" si="19"/>
        <v/>
      </c>
    </row>
    <row r="638" spans="10:17">
      <c r="J638" s="136" t="str">
        <f t="shared" si="18"/>
        <v/>
      </c>
      <c r="Q638" s="220" t="str">
        <f t="shared" si="19"/>
        <v/>
      </c>
    </row>
    <row r="639" spans="10:17">
      <c r="J639" s="136" t="str">
        <f t="shared" si="18"/>
        <v/>
      </c>
      <c r="Q639" s="220" t="str">
        <f t="shared" si="19"/>
        <v/>
      </c>
    </row>
    <row r="640" spans="10:17">
      <c r="J640" s="136" t="str">
        <f t="shared" si="18"/>
        <v/>
      </c>
      <c r="Q640" s="220" t="str">
        <f t="shared" si="19"/>
        <v/>
      </c>
    </row>
    <row r="641" spans="10:17">
      <c r="J641" s="136" t="str">
        <f t="shared" si="18"/>
        <v/>
      </c>
      <c r="Q641" s="220" t="str">
        <f t="shared" si="19"/>
        <v/>
      </c>
    </row>
    <row r="642" spans="10:17">
      <c r="J642" s="136" t="str">
        <f t="shared" si="18"/>
        <v/>
      </c>
      <c r="Q642" s="220" t="str">
        <f t="shared" si="19"/>
        <v/>
      </c>
    </row>
    <row r="643" spans="10:17">
      <c r="J643" s="136" t="str">
        <f t="shared" si="18"/>
        <v/>
      </c>
      <c r="Q643" s="220" t="str">
        <f t="shared" si="19"/>
        <v/>
      </c>
    </row>
    <row r="644" spans="10:17">
      <c r="J644" s="136" t="str">
        <f t="shared" si="18"/>
        <v/>
      </c>
      <c r="Q644" s="220" t="str">
        <f t="shared" si="19"/>
        <v/>
      </c>
    </row>
    <row r="645" spans="10:17">
      <c r="J645" s="136" t="str">
        <f t="shared" si="18"/>
        <v/>
      </c>
      <c r="Q645" s="220" t="str">
        <f t="shared" si="19"/>
        <v/>
      </c>
    </row>
    <row r="646" spans="10:17">
      <c r="J646" s="136" t="str">
        <f t="shared" si="18"/>
        <v/>
      </c>
      <c r="Q646" s="220" t="str">
        <f t="shared" si="19"/>
        <v/>
      </c>
    </row>
    <row r="647" spans="10:17">
      <c r="J647" s="136" t="str">
        <f t="shared" si="18"/>
        <v/>
      </c>
      <c r="Q647" s="220" t="str">
        <f t="shared" si="19"/>
        <v/>
      </c>
    </row>
    <row r="648" spans="10:17">
      <c r="J648" s="136" t="str">
        <f t="shared" si="18"/>
        <v/>
      </c>
      <c r="Q648" s="220" t="str">
        <f t="shared" si="19"/>
        <v/>
      </c>
    </row>
    <row r="649" spans="10:17">
      <c r="J649" s="136" t="str">
        <f t="shared" si="18"/>
        <v/>
      </c>
      <c r="Q649" s="220" t="str">
        <f t="shared" si="19"/>
        <v/>
      </c>
    </row>
    <row r="650" spans="10:17">
      <c r="J650" s="136" t="str">
        <f t="shared" si="18"/>
        <v/>
      </c>
      <c r="Q650" s="220" t="str">
        <f t="shared" si="19"/>
        <v/>
      </c>
    </row>
    <row r="651" spans="10:17">
      <c r="J651" s="136" t="str">
        <f t="shared" si="18"/>
        <v/>
      </c>
      <c r="Q651" s="220" t="str">
        <f t="shared" si="19"/>
        <v/>
      </c>
    </row>
    <row r="652" spans="10:17">
      <c r="J652" s="136" t="str">
        <f t="shared" si="18"/>
        <v/>
      </c>
      <c r="Q652" s="220" t="str">
        <f t="shared" si="19"/>
        <v/>
      </c>
    </row>
    <row r="653" spans="10:17">
      <c r="J653" s="136" t="str">
        <f t="shared" si="18"/>
        <v/>
      </c>
      <c r="Q653" s="220" t="str">
        <f t="shared" si="19"/>
        <v/>
      </c>
    </row>
    <row r="654" spans="10:17">
      <c r="J654" s="136" t="str">
        <f t="shared" si="18"/>
        <v/>
      </c>
      <c r="Q654" s="220" t="str">
        <f t="shared" si="19"/>
        <v/>
      </c>
    </row>
    <row r="655" spans="10:17">
      <c r="J655" s="136" t="str">
        <f t="shared" ref="J655:J718" si="20">IF(D655+G655+I655,D655*G655*I655,"")</f>
        <v/>
      </c>
      <c r="Q655" s="220" t="str">
        <f t="shared" ref="Q655:Q718" si="21">IF(N655+O655+P655,N655*O655*P655,"")</f>
        <v/>
      </c>
    </row>
    <row r="656" spans="10:17">
      <c r="J656" s="136" t="str">
        <f t="shared" si="20"/>
        <v/>
      </c>
      <c r="Q656" s="220" t="str">
        <f t="shared" si="21"/>
        <v/>
      </c>
    </row>
    <row r="657" spans="10:17">
      <c r="J657" s="136" t="str">
        <f t="shared" si="20"/>
        <v/>
      </c>
      <c r="Q657" s="220" t="str">
        <f t="shared" si="21"/>
        <v/>
      </c>
    </row>
    <row r="658" spans="10:17">
      <c r="J658" s="136" t="str">
        <f t="shared" si="20"/>
        <v/>
      </c>
      <c r="Q658" s="220" t="str">
        <f t="shared" si="21"/>
        <v/>
      </c>
    </row>
    <row r="659" spans="10:17">
      <c r="J659" s="136" t="str">
        <f t="shared" si="20"/>
        <v/>
      </c>
      <c r="Q659" s="220" t="str">
        <f t="shared" si="21"/>
        <v/>
      </c>
    </row>
    <row r="660" spans="10:17">
      <c r="J660" s="136" t="str">
        <f t="shared" si="20"/>
        <v/>
      </c>
      <c r="Q660" s="220" t="str">
        <f t="shared" si="21"/>
        <v/>
      </c>
    </row>
    <row r="661" spans="10:17">
      <c r="J661" s="136" t="str">
        <f t="shared" si="20"/>
        <v/>
      </c>
      <c r="Q661" s="220" t="str">
        <f t="shared" si="21"/>
        <v/>
      </c>
    </row>
    <row r="662" spans="10:17">
      <c r="J662" s="136" t="str">
        <f t="shared" si="20"/>
        <v/>
      </c>
      <c r="Q662" s="220" t="str">
        <f t="shared" si="21"/>
        <v/>
      </c>
    </row>
    <row r="663" spans="10:17">
      <c r="J663" s="136" t="str">
        <f t="shared" si="20"/>
        <v/>
      </c>
      <c r="Q663" s="220" t="str">
        <f t="shared" si="21"/>
        <v/>
      </c>
    </row>
    <row r="664" spans="10:17">
      <c r="J664" s="136" t="str">
        <f t="shared" si="20"/>
        <v/>
      </c>
      <c r="Q664" s="220" t="str">
        <f t="shared" si="21"/>
        <v/>
      </c>
    </row>
    <row r="665" spans="10:17">
      <c r="J665" s="136" t="str">
        <f t="shared" si="20"/>
        <v/>
      </c>
      <c r="Q665" s="220" t="str">
        <f t="shared" si="21"/>
        <v/>
      </c>
    </row>
    <row r="666" spans="10:17">
      <c r="J666" s="136" t="str">
        <f t="shared" si="20"/>
        <v/>
      </c>
      <c r="Q666" s="220" t="str">
        <f t="shared" si="21"/>
        <v/>
      </c>
    </row>
    <row r="667" spans="10:17">
      <c r="J667" s="136" t="str">
        <f t="shared" si="20"/>
        <v/>
      </c>
      <c r="Q667" s="220" t="str">
        <f t="shared" si="21"/>
        <v/>
      </c>
    </row>
    <row r="668" spans="10:17">
      <c r="J668" s="136" t="str">
        <f t="shared" si="20"/>
        <v/>
      </c>
      <c r="Q668" s="220" t="str">
        <f t="shared" si="21"/>
        <v/>
      </c>
    </row>
    <row r="669" spans="10:17">
      <c r="J669" s="136" t="str">
        <f t="shared" si="20"/>
        <v/>
      </c>
      <c r="Q669" s="220" t="str">
        <f t="shared" si="21"/>
        <v/>
      </c>
    </row>
    <row r="670" spans="10:17">
      <c r="J670" s="136" t="str">
        <f t="shared" si="20"/>
        <v/>
      </c>
      <c r="Q670" s="220" t="str">
        <f t="shared" si="21"/>
        <v/>
      </c>
    </row>
    <row r="671" spans="10:17">
      <c r="J671" s="136" t="str">
        <f t="shared" si="20"/>
        <v/>
      </c>
      <c r="Q671" s="220" t="str">
        <f t="shared" si="21"/>
        <v/>
      </c>
    </row>
    <row r="672" spans="10:17">
      <c r="J672" s="136" t="str">
        <f t="shared" si="20"/>
        <v/>
      </c>
      <c r="Q672" s="220" t="str">
        <f t="shared" si="21"/>
        <v/>
      </c>
    </row>
    <row r="673" spans="10:17">
      <c r="J673" s="136" t="str">
        <f t="shared" si="20"/>
        <v/>
      </c>
      <c r="Q673" s="220" t="str">
        <f t="shared" si="21"/>
        <v/>
      </c>
    </row>
    <row r="674" spans="10:17">
      <c r="J674" s="136" t="str">
        <f t="shared" si="20"/>
        <v/>
      </c>
      <c r="Q674" s="220" t="str">
        <f t="shared" si="21"/>
        <v/>
      </c>
    </row>
    <row r="675" spans="10:17">
      <c r="J675" s="136" t="str">
        <f t="shared" si="20"/>
        <v/>
      </c>
      <c r="Q675" s="220" t="str">
        <f t="shared" si="21"/>
        <v/>
      </c>
    </row>
    <row r="676" spans="10:17">
      <c r="J676" s="136" t="str">
        <f t="shared" si="20"/>
        <v/>
      </c>
      <c r="Q676" s="220" t="str">
        <f t="shared" si="21"/>
        <v/>
      </c>
    </row>
    <row r="677" spans="10:17">
      <c r="J677" s="136" t="str">
        <f t="shared" si="20"/>
        <v/>
      </c>
      <c r="Q677" s="220" t="str">
        <f t="shared" si="21"/>
        <v/>
      </c>
    </row>
    <row r="678" spans="10:17">
      <c r="J678" s="136" t="str">
        <f t="shared" si="20"/>
        <v/>
      </c>
      <c r="Q678" s="220" t="str">
        <f t="shared" si="21"/>
        <v/>
      </c>
    </row>
    <row r="679" spans="10:17">
      <c r="J679" s="136" t="str">
        <f t="shared" si="20"/>
        <v/>
      </c>
      <c r="Q679" s="220" t="str">
        <f t="shared" si="21"/>
        <v/>
      </c>
    </row>
    <row r="680" spans="10:17">
      <c r="J680" s="136" t="str">
        <f t="shared" si="20"/>
        <v/>
      </c>
      <c r="Q680" s="220" t="str">
        <f t="shared" si="21"/>
        <v/>
      </c>
    </row>
    <row r="681" spans="10:17">
      <c r="J681" s="136" t="str">
        <f t="shared" si="20"/>
        <v/>
      </c>
      <c r="Q681" s="220" t="str">
        <f t="shared" si="21"/>
        <v/>
      </c>
    </row>
    <row r="682" spans="10:17">
      <c r="J682" s="136" t="str">
        <f t="shared" si="20"/>
        <v/>
      </c>
      <c r="Q682" s="220" t="str">
        <f t="shared" si="21"/>
        <v/>
      </c>
    </row>
    <row r="683" spans="10:17">
      <c r="J683" s="136" t="str">
        <f t="shared" si="20"/>
        <v/>
      </c>
      <c r="Q683" s="220" t="str">
        <f t="shared" si="21"/>
        <v/>
      </c>
    </row>
    <row r="684" spans="10:17">
      <c r="J684" s="136" t="str">
        <f t="shared" si="20"/>
        <v/>
      </c>
      <c r="Q684" s="220" t="str">
        <f t="shared" si="21"/>
        <v/>
      </c>
    </row>
    <row r="685" spans="10:17">
      <c r="J685" s="136" t="str">
        <f t="shared" si="20"/>
        <v/>
      </c>
      <c r="Q685" s="220" t="str">
        <f t="shared" si="21"/>
        <v/>
      </c>
    </row>
    <row r="686" spans="10:17">
      <c r="J686" s="136" t="str">
        <f t="shared" si="20"/>
        <v/>
      </c>
      <c r="Q686" s="220" t="str">
        <f t="shared" si="21"/>
        <v/>
      </c>
    </row>
    <row r="687" spans="10:17">
      <c r="J687" s="136" t="str">
        <f t="shared" si="20"/>
        <v/>
      </c>
      <c r="Q687" s="220" t="str">
        <f t="shared" si="21"/>
        <v/>
      </c>
    </row>
    <row r="688" spans="10:17">
      <c r="J688" s="136" t="str">
        <f t="shared" si="20"/>
        <v/>
      </c>
      <c r="Q688" s="220" t="str">
        <f t="shared" si="21"/>
        <v/>
      </c>
    </row>
    <row r="689" spans="10:17">
      <c r="J689" s="136" t="str">
        <f t="shared" si="20"/>
        <v/>
      </c>
      <c r="Q689" s="220" t="str">
        <f t="shared" si="21"/>
        <v/>
      </c>
    </row>
    <row r="690" spans="10:17">
      <c r="J690" s="136" t="str">
        <f t="shared" si="20"/>
        <v/>
      </c>
      <c r="Q690" s="220" t="str">
        <f t="shared" si="21"/>
        <v/>
      </c>
    </row>
    <row r="691" spans="10:17">
      <c r="J691" s="136" t="str">
        <f t="shared" si="20"/>
        <v/>
      </c>
      <c r="Q691" s="220" t="str">
        <f t="shared" si="21"/>
        <v/>
      </c>
    </row>
    <row r="692" spans="10:17">
      <c r="J692" s="136" t="str">
        <f t="shared" si="20"/>
        <v/>
      </c>
      <c r="Q692" s="220" t="str">
        <f t="shared" si="21"/>
        <v/>
      </c>
    </row>
    <row r="693" spans="10:17">
      <c r="J693" s="136" t="str">
        <f t="shared" si="20"/>
        <v/>
      </c>
      <c r="Q693" s="220" t="str">
        <f t="shared" si="21"/>
        <v/>
      </c>
    </row>
    <row r="694" spans="10:17">
      <c r="J694" s="136" t="str">
        <f t="shared" si="20"/>
        <v/>
      </c>
      <c r="Q694" s="220" t="str">
        <f t="shared" si="21"/>
        <v/>
      </c>
    </row>
    <row r="695" spans="10:17">
      <c r="J695" s="136" t="str">
        <f t="shared" si="20"/>
        <v/>
      </c>
      <c r="Q695" s="220" t="str">
        <f t="shared" si="21"/>
        <v/>
      </c>
    </row>
    <row r="696" spans="10:17">
      <c r="J696" s="136" t="str">
        <f t="shared" si="20"/>
        <v/>
      </c>
      <c r="Q696" s="220" t="str">
        <f t="shared" si="21"/>
        <v/>
      </c>
    </row>
    <row r="697" spans="10:17">
      <c r="J697" s="136" t="str">
        <f t="shared" si="20"/>
        <v/>
      </c>
      <c r="Q697" s="220" t="str">
        <f t="shared" si="21"/>
        <v/>
      </c>
    </row>
    <row r="698" spans="10:17">
      <c r="J698" s="136" t="str">
        <f t="shared" si="20"/>
        <v/>
      </c>
      <c r="Q698" s="220" t="str">
        <f t="shared" si="21"/>
        <v/>
      </c>
    </row>
    <row r="699" spans="10:17">
      <c r="J699" s="136" t="str">
        <f t="shared" si="20"/>
        <v/>
      </c>
      <c r="Q699" s="220" t="str">
        <f t="shared" si="21"/>
        <v/>
      </c>
    </row>
    <row r="700" spans="10:17">
      <c r="J700" s="136" t="str">
        <f t="shared" si="20"/>
        <v/>
      </c>
      <c r="Q700" s="220" t="str">
        <f t="shared" si="21"/>
        <v/>
      </c>
    </row>
    <row r="701" spans="10:17">
      <c r="J701" s="136" t="str">
        <f t="shared" si="20"/>
        <v/>
      </c>
      <c r="Q701" s="220" t="str">
        <f t="shared" si="21"/>
        <v/>
      </c>
    </row>
    <row r="702" spans="10:17">
      <c r="J702" s="136" t="str">
        <f t="shared" si="20"/>
        <v/>
      </c>
      <c r="Q702" s="220" t="str">
        <f t="shared" si="21"/>
        <v/>
      </c>
    </row>
    <row r="703" spans="10:17">
      <c r="J703" s="136" t="str">
        <f t="shared" si="20"/>
        <v/>
      </c>
      <c r="Q703" s="220" t="str">
        <f t="shared" si="21"/>
        <v/>
      </c>
    </row>
    <row r="704" spans="10:17">
      <c r="J704" s="136" t="str">
        <f t="shared" si="20"/>
        <v/>
      </c>
      <c r="Q704" s="220" t="str">
        <f t="shared" si="21"/>
        <v/>
      </c>
    </row>
    <row r="705" spans="10:17">
      <c r="J705" s="136" t="str">
        <f t="shared" si="20"/>
        <v/>
      </c>
      <c r="Q705" s="220" t="str">
        <f t="shared" si="21"/>
        <v/>
      </c>
    </row>
    <row r="706" spans="10:17">
      <c r="J706" s="136" t="str">
        <f t="shared" si="20"/>
        <v/>
      </c>
      <c r="Q706" s="220" t="str">
        <f t="shared" si="21"/>
        <v/>
      </c>
    </row>
    <row r="707" spans="10:17">
      <c r="J707" s="136" t="str">
        <f t="shared" si="20"/>
        <v/>
      </c>
      <c r="Q707" s="220" t="str">
        <f t="shared" si="21"/>
        <v/>
      </c>
    </row>
    <row r="708" spans="10:17">
      <c r="J708" s="136" t="str">
        <f t="shared" si="20"/>
        <v/>
      </c>
      <c r="Q708" s="220" t="str">
        <f t="shared" si="21"/>
        <v/>
      </c>
    </row>
    <row r="709" spans="10:17">
      <c r="J709" s="136" t="str">
        <f t="shared" si="20"/>
        <v/>
      </c>
      <c r="Q709" s="220" t="str">
        <f t="shared" si="21"/>
        <v/>
      </c>
    </row>
    <row r="710" spans="10:17">
      <c r="J710" s="136" t="str">
        <f t="shared" si="20"/>
        <v/>
      </c>
      <c r="Q710" s="220" t="str">
        <f t="shared" si="21"/>
        <v/>
      </c>
    </row>
    <row r="711" spans="10:17">
      <c r="J711" s="136" t="str">
        <f t="shared" si="20"/>
        <v/>
      </c>
      <c r="Q711" s="220" t="str">
        <f t="shared" si="21"/>
        <v/>
      </c>
    </row>
    <row r="712" spans="10:17">
      <c r="J712" s="136" t="str">
        <f t="shared" si="20"/>
        <v/>
      </c>
      <c r="Q712" s="220" t="str">
        <f t="shared" si="21"/>
        <v/>
      </c>
    </row>
    <row r="713" spans="10:17">
      <c r="J713" s="136" t="str">
        <f t="shared" si="20"/>
        <v/>
      </c>
      <c r="Q713" s="220" t="str">
        <f t="shared" si="21"/>
        <v/>
      </c>
    </row>
    <row r="714" spans="10:17">
      <c r="J714" s="136" t="str">
        <f t="shared" si="20"/>
        <v/>
      </c>
      <c r="Q714" s="220" t="str">
        <f t="shared" si="21"/>
        <v/>
      </c>
    </row>
    <row r="715" spans="10:17">
      <c r="J715" s="136" t="str">
        <f t="shared" si="20"/>
        <v/>
      </c>
      <c r="Q715" s="220" t="str">
        <f t="shared" si="21"/>
        <v/>
      </c>
    </row>
    <row r="716" spans="10:17">
      <c r="J716" s="136" t="str">
        <f t="shared" si="20"/>
        <v/>
      </c>
      <c r="Q716" s="220" t="str">
        <f t="shared" si="21"/>
        <v/>
      </c>
    </row>
    <row r="717" spans="10:17">
      <c r="J717" s="136" t="str">
        <f t="shared" si="20"/>
        <v/>
      </c>
      <c r="Q717" s="220" t="str">
        <f t="shared" si="21"/>
        <v/>
      </c>
    </row>
    <row r="718" spans="10:17">
      <c r="J718" s="136" t="str">
        <f t="shared" si="20"/>
        <v/>
      </c>
      <c r="Q718" s="220" t="str">
        <f t="shared" si="21"/>
        <v/>
      </c>
    </row>
    <row r="719" spans="10:17">
      <c r="J719" s="136" t="str">
        <f t="shared" ref="J719:J782" si="22">IF(D719+G719+I719,D719*G719*I719,"")</f>
        <v/>
      </c>
      <c r="Q719" s="220" t="str">
        <f t="shared" ref="Q719:Q782" si="23">IF(N719+O719+P719,N719*O719*P719,"")</f>
        <v/>
      </c>
    </row>
    <row r="720" spans="10:17">
      <c r="J720" s="136" t="str">
        <f t="shared" si="22"/>
        <v/>
      </c>
      <c r="Q720" s="220" t="str">
        <f t="shared" si="23"/>
        <v/>
      </c>
    </row>
    <row r="721" spans="10:17">
      <c r="J721" s="136" t="str">
        <f t="shared" si="22"/>
        <v/>
      </c>
      <c r="Q721" s="220" t="str">
        <f t="shared" si="23"/>
        <v/>
      </c>
    </row>
    <row r="722" spans="10:17">
      <c r="J722" s="136" t="str">
        <f t="shared" si="22"/>
        <v/>
      </c>
      <c r="Q722" s="220" t="str">
        <f t="shared" si="23"/>
        <v/>
      </c>
    </row>
    <row r="723" spans="10:17">
      <c r="J723" s="136" t="str">
        <f t="shared" si="22"/>
        <v/>
      </c>
      <c r="Q723" s="220" t="str">
        <f t="shared" si="23"/>
        <v/>
      </c>
    </row>
    <row r="724" spans="10:17">
      <c r="J724" s="136" t="str">
        <f t="shared" si="22"/>
        <v/>
      </c>
      <c r="Q724" s="220" t="str">
        <f t="shared" si="23"/>
        <v/>
      </c>
    </row>
    <row r="725" spans="10:17">
      <c r="J725" s="136" t="str">
        <f t="shared" si="22"/>
        <v/>
      </c>
      <c r="Q725" s="220" t="str">
        <f t="shared" si="23"/>
        <v/>
      </c>
    </row>
    <row r="726" spans="10:17">
      <c r="J726" s="136" t="str">
        <f t="shared" si="22"/>
        <v/>
      </c>
      <c r="Q726" s="220" t="str">
        <f t="shared" si="23"/>
        <v/>
      </c>
    </row>
    <row r="727" spans="10:17">
      <c r="J727" s="136" t="str">
        <f t="shared" si="22"/>
        <v/>
      </c>
      <c r="Q727" s="220" t="str">
        <f t="shared" si="23"/>
        <v/>
      </c>
    </row>
    <row r="728" spans="10:17">
      <c r="J728" s="136" t="str">
        <f t="shared" si="22"/>
        <v/>
      </c>
      <c r="Q728" s="220" t="str">
        <f t="shared" si="23"/>
        <v/>
      </c>
    </row>
    <row r="729" spans="10:17">
      <c r="J729" s="136" t="str">
        <f t="shared" si="22"/>
        <v/>
      </c>
      <c r="Q729" s="220" t="str">
        <f t="shared" si="23"/>
        <v/>
      </c>
    </row>
    <row r="730" spans="10:17">
      <c r="J730" s="136" t="str">
        <f t="shared" si="22"/>
        <v/>
      </c>
      <c r="Q730" s="220" t="str">
        <f t="shared" si="23"/>
        <v/>
      </c>
    </row>
    <row r="731" spans="10:17">
      <c r="J731" s="136" t="str">
        <f t="shared" si="22"/>
        <v/>
      </c>
      <c r="Q731" s="220" t="str">
        <f t="shared" si="23"/>
        <v/>
      </c>
    </row>
    <row r="732" spans="10:17">
      <c r="J732" s="136" t="str">
        <f t="shared" si="22"/>
        <v/>
      </c>
      <c r="Q732" s="220" t="str">
        <f t="shared" si="23"/>
        <v/>
      </c>
    </row>
    <row r="733" spans="10:17">
      <c r="J733" s="136" t="str">
        <f t="shared" si="22"/>
        <v/>
      </c>
      <c r="Q733" s="220" t="str">
        <f t="shared" si="23"/>
        <v/>
      </c>
    </row>
    <row r="734" spans="10:17">
      <c r="J734" s="136" t="str">
        <f t="shared" si="22"/>
        <v/>
      </c>
      <c r="Q734" s="220" t="str">
        <f t="shared" si="23"/>
        <v/>
      </c>
    </row>
    <row r="735" spans="10:17">
      <c r="J735" s="136" t="str">
        <f t="shared" si="22"/>
        <v/>
      </c>
      <c r="Q735" s="220" t="str">
        <f t="shared" si="23"/>
        <v/>
      </c>
    </row>
    <row r="736" spans="10:17">
      <c r="J736" s="136" t="str">
        <f t="shared" si="22"/>
        <v/>
      </c>
      <c r="Q736" s="220" t="str">
        <f t="shared" si="23"/>
        <v/>
      </c>
    </row>
    <row r="737" spans="10:17">
      <c r="J737" s="136" t="str">
        <f t="shared" si="22"/>
        <v/>
      </c>
      <c r="Q737" s="220" t="str">
        <f t="shared" si="23"/>
        <v/>
      </c>
    </row>
    <row r="738" spans="10:17">
      <c r="J738" s="136" t="str">
        <f t="shared" si="22"/>
        <v/>
      </c>
      <c r="Q738" s="220" t="str">
        <f t="shared" si="23"/>
        <v/>
      </c>
    </row>
    <row r="739" spans="10:17">
      <c r="J739" s="136" t="str">
        <f t="shared" si="22"/>
        <v/>
      </c>
      <c r="Q739" s="220" t="str">
        <f t="shared" si="23"/>
        <v/>
      </c>
    </row>
    <row r="740" spans="10:17">
      <c r="J740" s="136" t="str">
        <f t="shared" si="22"/>
        <v/>
      </c>
      <c r="Q740" s="220" t="str">
        <f t="shared" si="23"/>
        <v/>
      </c>
    </row>
    <row r="741" spans="10:17">
      <c r="J741" s="136" t="str">
        <f t="shared" si="22"/>
        <v/>
      </c>
      <c r="Q741" s="220" t="str">
        <f t="shared" si="23"/>
        <v/>
      </c>
    </row>
    <row r="742" spans="10:17">
      <c r="J742" s="136" t="str">
        <f t="shared" si="22"/>
        <v/>
      </c>
      <c r="Q742" s="220" t="str">
        <f t="shared" si="23"/>
        <v/>
      </c>
    </row>
    <row r="743" spans="10:17">
      <c r="J743" s="136" t="str">
        <f t="shared" si="22"/>
        <v/>
      </c>
      <c r="Q743" s="220" t="str">
        <f t="shared" si="23"/>
        <v/>
      </c>
    </row>
    <row r="744" spans="10:17">
      <c r="J744" s="136" t="str">
        <f t="shared" si="22"/>
        <v/>
      </c>
      <c r="Q744" s="220" t="str">
        <f t="shared" si="23"/>
        <v/>
      </c>
    </row>
    <row r="745" spans="10:17">
      <c r="J745" s="136" t="str">
        <f t="shared" si="22"/>
        <v/>
      </c>
      <c r="Q745" s="220" t="str">
        <f t="shared" si="23"/>
        <v/>
      </c>
    </row>
    <row r="746" spans="10:17">
      <c r="J746" s="136" t="str">
        <f t="shared" si="22"/>
        <v/>
      </c>
      <c r="Q746" s="220" t="str">
        <f t="shared" si="23"/>
        <v/>
      </c>
    </row>
    <row r="747" spans="10:17">
      <c r="J747" s="136" t="str">
        <f t="shared" si="22"/>
        <v/>
      </c>
      <c r="Q747" s="220" t="str">
        <f t="shared" si="23"/>
        <v/>
      </c>
    </row>
    <row r="748" spans="10:17">
      <c r="J748" s="136" t="str">
        <f t="shared" si="22"/>
        <v/>
      </c>
      <c r="Q748" s="220" t="str">
        <f t="shared" si="23"/>
        <v/>
      </c>
    </row>
    <row r="749" spans="10:17">
      <c r="J749" s="136" t="str">
        <f t="shared" si="22"/>
        <v/>
      </c>
      <c r="Q749" s="220" t="str">
        <f t="shared" si="23"/>
        <v/>
      </c>
    </row>
    <row r="750" spans="10:17">
      <c r="J750" s="136" t="str">
        <f t="shared" si="22"/>
        <v/>
      </c>
      <c r="Q750" s="220" t="str">
        <f t="shared" si="23"/>
        <v/>
      </c>
    </row>
    <row r="751" spans="10:17">
      <c r="J751" s="136" t="str">
        <f t="shared" si="22"/>
        <v/>
      </c>
      <c r="Q751" s="220" t="str">
        <f t="shared" si="23"/>
        <v/>
      </c>
    </row>
    <row r="752" spans="10:17">
      <c r="J752" s="136" t="str">
        <f t="shared" si="22"/>
        <v/>
      </c>
      <c r="Q752" s="220" t="str">
        <f t="shared" si="23"/>
        <v/>
      </c>
    </row>
    <row r="753" spans="10:17">
      <c r="J753" s="136" t="str">
        <f t="shared" si="22"/>
        <v/>
      </c>
      <c r="Q753" s="220" t="str">
        <f t="shared" si="23"/>
        <v/>
      </c>
    </row>
    <row r="754" spans="10:17">
      <c r="J754" s="136" t="str">
        <f t="shared" si="22"/>
        <v/>
      </c>
      <c r="Q754" s="220" t="str">
        <f t="shared" si="23"/>
        <v/>
      </c>
    </row>
    <row r="755" spans="10:17">
      <c r="J755" s="136" t="str">
        <f t="shared" si="22"/>
        <v/>
      </c>
      <c r="Q755" s="220" t="str">
        <f t="shared" si="23"/>
        <v/>
      </c>
    </row>
    <row r="756" spans="10:17">
      <c r="J756" s="136" t="str">
        <f t="shared" si="22"/>
        <v/>
      </c>
      <c r="Q756" s="220" t="str">
        <f t="shared" si="23"/>
        <v/>
      </c>
    </row>
    <row r="757" spans="10:17">
      <c r="J757" s="136" t="str">
        <f t="shared" si="22"/>
        <v/>
      </c>
      <c r="Q757" s="220" t="str">
        <f t="shared" si="23"/>
        <v/>
      </c>
    </row>
    <row r="758" spans="10:17">
      <c r="J758" s="136" t="str">
        <f t="shared" si="22"/>
        <v/>
      </c>
      <c r="Q758" s="220" t="str">
        <f t="shared" si="23"/>
        <v/>
      </c>
    </row>
    <row r="759" spans="10:17">
      <c r="J759" s="136" t="str">
        <f t="shared" si="22"/>
        <v/>
      </c>
      <c r="Q759" s="220" t="str">
        <f t="shared" si="23"/>
        <v/>
      </c>
    </row>
    <row r="760" spans="10:17">
      <c r="J760" s="136" t="str">
        <f t="shared" si="22"/>
        <v/>
      </c>
      <c r="Q760" s="220" t="str">
        <f t="shared" si="23"/>
        <v/>
      </c>
    </row>
    <row r="761" spans="10:17">
      <c r="J761" s="136" t="str">
        <f t="shared" si="22"/>
        <v/>
      </c>
      <c r="Q761" s="220" t="str">
        <f t="shared" si="23"/>
        <v/>
      </c>
    </row>
    <row r="762" spans="10:17">
      <c r="J762" s="136" t="str">
        <f t="shared" si="22"/>
        <v/>
      </c>
      <c r="Q762" s="220" t="str">
        <f t="shared" si="23"/>
        <v/>
      </c>
    </row>
    <row r="763" spans="10:17">
      <c r="J763" s="136" t="str">
        <f t="shared" si="22"/>
        <v/>
      </c>
      <c r="Q763" s="220" t="str">
        <f t="shared" si="23"/>
        <v/>
      </c>
    </row>
    <row r="764" spans="10:17">
      <c r="J764" s="136" t="str">
        <f t="shared" si="22"/>
        <v/>
      </c>
      <c r="Q764" s="220" t="str">
        <f t="shared" si="23"/>
        <v/>
      </c>
    </row>
    <row r="765" spans="10:17">
      <c r="J765" s="136" t="str">
        <f t="shared" si="22"/>
        <v/>
      </c>
      <c r="Q765" s="220" t="str">
        <f t="shared" si="23"/>
        <v/>
      </c>
    </row>
    <row r="766" spans="10:17">
      <c r="J766" s="136" t="str">
        <f t="shared" si="22"/>
        <v/>
      </c>
      <c r="Q766" s="220" t="str">
        <f t="shared" si="23"/>
        <v/>
      </c>
    </row>
    <row r="767" spans="10:17">
      <c r="J767" s="136" t="str">
        <f t="shared" si="22"/>
        <v/>
      </c>
      <c r="Q767" s="220" t="str">
        <f t="shared" si="23"/>
        <v/>
      </c>
    </row>
    <row r="768" spans="10:17">
      <c r="J768" s="136" t="str">
        <f t="shared" si="22"/>
        <v/>
      </c>
      <c r="Q768" s="220" t="str">
        <f t="shared" si="23"/>
        <v/>
      </c>
    </row>
    <row r="769" spans="10:17">
      <c r="J769" s="136" t="str">
        <f t="shared" si="22"/>
        <v/>
      </c>
      <c r="Q769" s="220" t="str">
        <f t="shared" si="23"/>
        <v/>
      </c>
    </row>
    <row r="770" spans="10:17">
      <c r="J770" s="136" t="str">
        <f t="shared" si="22"/>
        <v/>
      </c>
      <c r="Q770" s="220" t="str">
        <f t="shared" si="23"/>
        <v/>
      </c>
    </row>
    <row r="771" spans="10:17">
      <c r="J771" s="136" t="str">
        <f t="shared" si="22"/>
        <v/>
      </c>
      <c r="Q771" s="220" t="str">
        <f t="shared" si="23"/>
        <v/>
      </c>
    </row>
    <row r="772" spans="10:17">
      <c r="J772" s="136" t="str">
        <f t="shared" si="22"/>
        <v/>
      </c>
      <c r="Q772" s="220" t="str">
        <f t="shared" si="23"/>
        <v/>
      </c>
    </row>
    <row r="773" spans="10:17">
      <c r="J773" s="136" t="str">
        <f t="shared" si="22"/>
        <v/>
      </c>
      <c r="Q773" s="220" t="str">
        <f t="shared" si="23"/>
        <v/>
      </c>
    </row>
    <row r="774" spans="10:17">
      <c r="J774" s="136" t="str">
        <f t="shared" si="22"/>
        <v/>
      </c>
      <c r="Q774" s="220" t="str">
        <f t="shared" si="23"/>
        <v/>
      </c>
    </row>
    <row r="775" spans="10:17">
      <c r="J775" s="136" t="str">
        <f t="shared" si="22"/>
        <v/>
      </c>
      <c r="Q775" s="220" t="str">
        <f t="shared" si="23"/>
        <v/>
      </c>
    </row>
    <row r="776" spans="10:17">
      <c r="J776" s="136" t="str">
        <f t="shared" si="22"/>
        <v/>
      </c>
      <c r="Q776" s="220" t="str">
        <f t="shared" si="23"/>
        <v/>
      </c>
    </row>
    <row r="777" spans="10:17">
      <c r="J777" s="136" t="str">
        <f t="shared" si="22"/>
        <v/>
      </c>
      <c r="Q777" s="220" t="str">
        <f t="shared" si="23"/>
        <v/>
      </c>
    </row>
    <row r="778" spans="10:17">
      <c r="J778" s="136" t="str">
        <f t="shared" si="22"/>
        <v/>
      </c>
      <c r="Q778" s="220" t="str">
        <f t="shared" si="23"/>
        <v/>
      </c>
    </row>
    <row r="779" spans="10:17">
      <c r="J779" s="136" t="str">
        <f t="shared" si="22"/>
        <v/>
      </c>
      <c r="Q779" s="220" t="str">
        <f t="shared" si="23"/>
        <v/>
      </c>
    </row>
    <row r="780" spans="10:17">
      <c r="J780" s="136" t="str">
        <f t="shared" si="22"/>
        <v/>
      </c>
      <c r="Q780" s="220" t="str">
        <f t="shared" si="23"/>
        <v/>
      </c>
    </row>
    <row r="781" spans="10:17">
      <c r="J781" s="136" t="str">
        <f t="shared" si="22"/>
        <v/>
      </c>
      <c r="Q781" s="220" t="str">
        <f t="shared" si="23"/>
        <v/>
      </c>
    </row>
    <row r="782" spans="10:17">
      <c r="J782" s="136" t="str">
        <f t="shared" si="22"/>
        <v/>
      </c>
      <c r="Q782" s="220" t="str">
        <f t="shared" si="23"/>
        <v/>
      </c>
    </row>
    <row r="783" spans="10:17">
      <c r="J783" s="136" t="str">
        <f t="shared" ref="J783:J846" si="24">IF(D783+G783+I783,D783*G783*I783,"")</f>
        <v/>
      </c>
      <c r="Q783" s="220" t="str">
        <f t="shared" ref="Q783:Q846" si="25">IF(N783+O783+P783,N783*O783*P783,"")</f>
        <v/>
      </c>
    </row>
    <row r="784" spans="10:17">
      <c r="J784" s="136" t="str">
        <f t="shared" si="24"/>
        <v/>
      </c>
      <c r="Q784" s="220" t="str">
        <f t="shared" si="25"/>
        <v/>
      </c>
    </row>
    <row r="785" spans="10:17">
      <c r="J785" s="136" t="str">
        <f t="shared" si="24"/>
        <v/>
      </c>
      <c r="Q785" s="220" t="str">
        <f t="shared" si="25"/>
        <v/>
      </c>
    </row>
    <row r="786" spans="10:17">
      <c r="J786" s="136" t="str">
        <f t="shared" si="24"/>
        <v/>
      </c>
      <c r="Q786" s="220" t="str">
        <f t="shared" si="25"/>
        <v/>
      </c>
    </row>
    <row r="787" spans="10:17">
      <c r="J787" s="136" t="str">
        <f t="shared" si="24"/>
        <v/>
      </c>
      <c r="Q787" s="220" t="str">
        <f t="shared" si="25"/>
        <v/>
      </c>
    </row>
    <row r="788" spans="10:17">
      <c r="J788" s="136" t="str">
        <f t="shared" si="24"/>
        <v/>
      </c>
      <c r="Q788" s="220" t="str">
        <f t="shared" si="25"/>
        <v/>
      </c>
    </row>
    <row r="789" spans="10:17">
      <c r="J789" s="136" t="str">
        <f t="shared" si="24"/>
        <v/>
      </c>
      <c r="Q789" s="220" t="str">
        <f t="shared" si="25"/>
        <v/>
      </c>
    </row>
    <row r="790" spans="10:17">
      <c r="J790" s="136" t="str">
        <f t="shared" si="24"/>
        <v/>
      </c>
      <c r="Q790" s="220" t="str">
        <f t="shared" si="25"/>
        <v/>
      </c>
    </row>
    <row r="791" spans="10:17">
      <c r="J791" s="136" t="str">
        <f t="shared" si="24"/>
        <v/>
      </c>
      <c r="Q791" s="220" t="str">
        <f t="shared" si="25"/>
        <v/>
      </c>
    </row>
    <row r="792" spans="10:17">
      <c r="J792" s="136" t="str">
        <f t="shared" si="24"/>
        <v/>
      </c>
      <c r="Q792" s="220" t="str">
        <f t="shared" si="25"/>
        <v/>
      </c>
    </row>
    <row r="793" spans="10:17">
      <c r="J793" s="136" t="str">
        <f t="shared" si="24"/>
        <v/>
      </c>
      <c r="Q793" s="220" t="str">
        <f t="shared" si="25"/>
        <v/>
      </c>
    </row>
    <row r="794" spans="10:17">
      <c r="J794" s="136" t="str">
        <f t="shared" si="24"/>
        <v/>
      </c>
      <c r="Q794" s="220" t="str">
        <f t="shared" si="25"/>
        <v/>
      </c>
    </row>
    <row r="795" spans="10:17">
      <c r="J795" s="136" t="str">
        <f t="shared" si="24"/>
        <v/>
      </c>
      <c r="Q795" s="220" t="str">
        <f t="shared" si="25"/>
        <v/>
      </c>
    </row>
    <row r="796" spans="10:17">
      <c r="J796" s="136" t="str">
        <f t="shared" si="24"/>
        <v/>
      </c>
      <c r="Q796" s="220" t="str">
        <f t="shared" si="25"/>
        <v/>
      </c>
    </row>
    <row r="797" spans="10:17">
      <c r="J797" s="136" t="str">
        <f t="shared" si="24"/>
        <v/>
      </c>
      <c r="Q797" s="220" t="str">
        <f t="shared" si="25"/>
        <v/>
      </c>
    </row>
    <row r="798" spans="10:17">
      <c r="J798" s="136" t="str">
        <f t="shared" si="24"/>
        <v/>
      </c>
      <c r="Q798" s="220" t="str">
        <f t="shared" si="25"/>
        <v/>
      </c>
    </row>
    <row r="799" spans="10:17">
      <c r="J799" s="136" t="str">
        <f t="shared" si="24"/>
        <v/>
      </c>
      <c r="Q799" s="220" t="str">
        <f t="shared" si="25"/>
        <v/>
      </c>
    </row>
    <row r="800" spans="10:17">
      <c r="J800" s="136" t="str">
        <f t="shared" si="24"/>
        <v/>
      </c>
      <c r="Q800" s="220" t="str">
        <f t="shared" si="25"/>
        <v/>
      </c>
    </row>
    <row r="801" spans="10:17">
      <c r="J801" s="136" t="str">
        <f t="shared" si="24"/>
        <v/>
      </c>
      <c r="Q801" s="220" t="str">
        <f t="shared" si="25"/>
        <v/>
      </c>
    </row>
    <row r="802" spans="10:17">
      <c r="J802" s="136" t="str">
        <f t="shared" si="24"/>
        <v/>
      </c>
      <c r="Q802" s="220" t="str">
        <f t="shared" si="25"/>
        <v/>
      </c>
    </row>
    <row r="803" spans="10:17">
      <c r="J803" s="136" t="str">
        <f t="shared" si="24"/>
        <v/>
      </c>
      <c r="Q803" s="220" t="str">
        <f t="shared" si="25"/>
        <v/>
      </c>
    </row>
    <row r="804" spans="10:17">
      <c r="J804" s="136" t="str">
        <f t="shared" si="24"/>
        <v/>
      </c>
      <c r="Q804" s="220" t="str">
        <f t="shared" si="25"/>
        <v/>
      </c>
    </row>
    <row r="805" spans="10:17">
      <c r="J805" s="136" t="str">
        <f t="shared" si="24"/>
        <v/>
      </c>
      <c r="Q805" s="220" t="str">
        <f t="shared" si="25"/>
        <v/>
      </c>
    </row>
    <row r="806" spans="10:17">
      <c r="J806" s="136" t="str">
        <f t="shared" si="24"/>
        <v/>
      </c>
      <c r="Q806" s="220" t="str">
        <f t="shared" si="25"/>
        <v/>
      </c>
    </row>
    <row r="807" spans="10:17">
      <c r="J807" s="136" t="str">
        <f t="shared" si="24"/>
        <v/>
      </c>
      <c r="Q807" s="220" t="str">
        <f t="shared" si="25"/>
        <v/>
      </c>
    </row>
    <row r="808" spans="10:17">
      <c r="J808" s="136" t="str">
        <f t="shared" si="24"/>
        <v/>
      </c>
      <c r="Q808" s="220" t="str">
        <f t="shared" si="25"/>
        <v/>
      </c>
    </row>
    <row r="809" spans="10:17">
      <c r="J809" s="136" t="str">
        <f t="shared" si="24"/>
        <v/>
      </c>
      <c r="Q809" s="220" t="str">
        <f t="shared" si="25"/>
        <v/>
      </c>
    </row>
    <row r="810" spans="10:17">
      <c r="J810" s="136" t="str">
        <f t="shared" si="24"/>
        <v/>
      </c>
      <c r="Q810" s="220" t="str">
        <f t="shared" si="25"/>
        <v/>
      </c>
    </row>
    <row r="811" spans="10:17">
      <c r="J811" s="136" t="str">
        <f t="shared" si="24"/>
        <v/>
      </c>
      <c r="Q811" s="220" t="str">
        <f t="shared" si="25"/>
        <v/>
      </c>
    </row>
    <row r="812" spans="10:17">
      <c r="J812" s="136" t="str">
        <f t="shared" si="24"/>
        <v/>
      </c>
      <c r="Q812" s="220" t="str">
        <f t="shared" si="25"/>
        <v/>
      </c>
    </row>
    <row r="813" spans="10:17">
      <c r="J813" s="136" t="str">
        <f t="shared" si="24"/>
        <v/>
      </c>
      <c r="Q813" s="220" t="str">
        <f t="shared" si="25"/>
        <v/>
      </c>
    </row>
    <row r="814" spans="10:17">
      <c r="J814" s="136" t="str">
        <f t="shared" si="24"/>
        <v/>
      </c>
      <c r="Q814" s="220" t="str">
        <f t="shared" si="25"/>
        <v/>
      </c>
    </row>
    <row r="815" spans="10:17">
      <c r="J815" s="136" t="str">
        <f t="shared" si="24"/>
        <v/>
      </c>
      <c r="Q815" s="220" t="str">
        <f t="shared" si="25"/>
        <v/>
      </c>
    </row>
    <row r="816" spans="10:17">
      <c r="J816" s="136" t="str">
        <f t="shared" si="24"/>
        <v/>
      </c>
      <c r="Q816" s="220" t="str">
        <f t="shared" si="25"/>
        <v/>
      </c>
    </row>
    <row r="817" spans="10:17">
      <c r="J817" s="136" t="str">
        <f t="shared" si="24"/>
        <v/>
      </c>
      <c r="Q817" s="220" t="str">
        <f t="shared" si="25"/>
        <v/>
      </c>
    </row>
    <row r="818" spans="10:17">
      <c r="J818" s="136" t="str">
        <f t="shared" si="24"/>
        <v/>
      </c>
      <c r="Q818" s="220" t="str">
        <f t="shared" si="25"/>
        <v/>
      </c>
    </row>
    <row r="819" spans="10:17">
      <c r="J819" s="136" t="str">
        <f t="shared" si="24"/>
        <v/>
      </c>
      <c r="Q819" s="220" t="str">
        <f t="shared" si="25"/>
        <v/>
      </c>
    </row>
    <row r="820" spans="10:17">
      <c r="J820" s="136" t="str">
        <f t="shared" si="24"/>
        <v/>
      </c>
      <c r="Q820" s="220" t="str">
        <f t="shared" si="25"/>
        <v/>
      </c>
    </row>
    <row r="821" spans="10:17">
      <c r="J821" s="136" t="str">
        <f t="shared" si="24"/>
        <v/>
      </c>
      <c r="Q821" s="220" t="str">
        <f t="shared" si="25"/>
        <v/>
      </c>
    </row>
    <row r="822" spans="10:17">
      <c r="J822" s="136" t="str">
        <f t="shared" si="24"/>
        <v/>
      </c>
      <c r="Q822" s="220" t="str">
        <f t="shared" si="25"/>
        <v/>
      </c>
    </row>
    <row r="823" spans="10:17">
      <c r="J823" s="136" t="str">
        <f t="shared" si="24"/>
        <v/>
      </c>
      <c r="Q823" s="220" t="str">
        <f t="shared" si="25"/>
        <v/>
      </c>
    </row>
    <row r="824" spans="10:17">
      <c r="J824" s="136" t="str">
        <f t="shared" si="24"/>
        <v/>
      </c>
      <c r="Q824" s="220" t="str">
        <f t="shared" si="25"/>
        <v/>
      </c>
    </row>
    <row r="825" spans="10:17">
      <c r="J825" s="136" t="str">
        <f t="shared" si="24"/>
        <v/>
      </c>
      <c r="Q825" s="220" t="str">
        <f t="shared" si="25"/>
        <v/>
      </c>
    </row>
    <row r="826" spans="10:17">
      <c r="J826" s="136" t="str">
        <f t="shared" si="24"/>
        <v/>
      </c>
      <c r="Q826" s="220" t="str">
        <f t="shared" si="25"/>
        <v/>
      </c>
    </row>
    <row r="827" spans="10:17">
      <c r="J827" s="136" t="str">
        <f t="shared" si="24"/>
        <v/>
      </c>
      <c r="Q827" s="220" t="str">
        <f t="shared" si="25"/>
        <v/>
      </c>
    </row>
    <row r="828" spans="10:17">
      <c r="J828" s="136" t="str">
        <f t="shared" si="24"/>
        <v/>
      </c>
      <c r="Q828" s="220" t="str">
        <f t="shared" si="25"/>
        <v/>
      </c>
    </row>
    <row r="829" spans="10:17">
      <c r="J829" s="136" t="str">
        <f t="shared" si="24"/>
        <v/>
      </c>
      <c r="Q829" s="220" t="str">
        <f t="shared" si="25"/>
        <v/>
      </c>
    </row>
    <row r="830" spans="10:17">
      <c r="J830" s="136" t="str">
        <f t="shared" si="24"/>
        <v/>
      </c>
      <c r="Q830" s="220" t="str">
        <f t="shared" si="25"/>
        <v/>
      </c>
    </row>
    <row r="831" spans="10:17">
      <c r="J831" s="136" t="str">
        <f t="shared" si="24"/>
        <v/>
      </c>
      <c r="Q831" s="220" t="str">
        <f t="shared" si="25"/>
        <v/>
      </c>
    </row>
    <row r="832" spans="10:17">
      <c r="J832" s="136" t="str">
        <f t="shared" si="24"/>
        <v/>
      </c>
      <c r="Q832" s="220" t="str">
        <f t="shared" si="25"/>
        <v/>
      </c>
    </row>
    <row r="833" spans="10:17">
      <c r="J833" s="136" t="str">
        <f t="shared" si="24"/>
        <v/>
      </c>
      <c r="Q833" s="220" t="str">
        <f t="shared" si="25"/>
        <v/>
      </c>
    </row>
    <row r="834" spans="10:17">
      <c r="J834" s="136" t="str">
        <f t="shared" si="24"/>
        <v/>
      </c>
      <c r="Q834" s="220" t="str">
        <f t="shared" si="25"/>
        <v/>
      </c>
    </row>
    <row r="835" spans="10:17">
      <c r="J835" s="136" t="str">
        <f t="shared" si="24"/>
        <v/>
      </c>
      <c r="Q835" s="220" t="str">
        <f t="shared" si="25"/>
        <v/>
      </c>
    </row>
    <row r="836" spans="10:17">
      <c r="J836" s="136" t="str">
        <f t="shared" si="24"/>
        <v/>
      </c>
      <c r="Q836" s="220" t="str">
        <f t="shared" si="25"/>
        <v/>
      </c>
    </row>
    <row r="837" spans="10:17">
      <c r="J837" s="136" t="str">
        <f t="shared" si="24"/>
        <v/>
      </c>
      <c r="Q837" s="220" t="str">
        <f t="shared" si="25"/>
        <v/>
      </c>
    </row>
    <row r="838" spans="10:17">
      <c r="J838" s="136" t="str">
        <f t="shared" si="24"/>
        <v/>
      </c>
      <c r="Q838" s="220" t="str">
        <f t="shared" si="25"/>
        <v/>
      </c>
    </row>
    <row r="839" spans="10:17">
      <c r="J839" s="136" t="str">
        <f t="shared" si="24"/>
        <v/>
      </c>
      <c r="Q839" s="220" t="str">
        <f t="shared" si="25"/>
        <v/>
      </c>
    </row>
    <row r="840" spans="10:17">
      <c r="J840" s="136" t="str">
        <f t="shared" si="24"/>
        <v/>
      </c>
      <c r="Q840" s="220" t="str">
        <f t="shared" si="25"/>
        <v/>
      </c>
    </row>
    <row r="841" spans="10:17">
      <c r="J841" s="136" t="str">
        <f t="shared" si="24"/>
        <v/>
      </c>
      <c r="Q841" s="220" t="str">
        <f t="shared" si="25"/>
        <v/>
      </c>
    </row>
    <row r="842" spans="10:17">
      <c r="J842" s="136" t="str">
        <f t="shared" si="24"/>
        <v/>
      </c>
      <c r="Q842" s="220" t="str">
        <f t="shared" si="25"/>
        <v/>
      </c>
    </row>
    <row r="843" spans="10:17">
      <c r="J843" s="136" t="str">
        <f t="shared" si="24"/>
        <v/>
      </c>
      <c r="Q843" s="220" t="str">
        <f t="shared" si="25"/>
        <v/>
      </c>
    </row>
    <row r="844" spans="10:17">
      <c r="J844" s="136" t="str">
        <f t="shared" si="24"/>
        <v/>
      </c>
      <c r="Q844" s="220" t="str">
        <f t="shared" si="25"/>
        <v/>
      </c>
    </row>
    <row r="845" spans="10:17">
      <c r="J845" s="136" t="str">
        <f t="shared" si="24"/>
        <v/>
      </c>
      <c r="Q845" s="220" t="str">
        <f t="shared" si="25"/>
        <v/>
      </c>
    </row>
    <row r="846" spans="10:17">
      <c r="J846" s="136" t="str">
        <f t="shared" si="24"/>
        <v/>
      </c>
      <c r="Q846" s="220" t="str">
        <f t="shared" si="25"/>
        <v/>
      </c>
    </row>
    <row r="847" spans="10:17">
      <c r="J847" s="136" t="str">
        <f t="shared" ref="J847:J910" si="26">IF(D847+G847+I847,D847*G847*I847,"")</f>
        <v/>
      </c>
      <c r="Q847" s="220" t="str">
        <f t="shared" ref="Q847:Q910" si="27">IF(N847+O847+P847,N847*O847*P847,"")</f>
        <v/>
      </c>
    </row>
    <row r="848" spans="10:17">
      <c r="J848" s="136" t="str">
        <f t="shared" si="26"/>
        <v/>
      </c>
      <c r="Q848" s="220" t="str">
        <f t="shared" si="27"/>
        <v/>
      </c>
    </row>
    <row r="849" spans="10:17">
      <c r="J849" s="136" t="str">
        <f t="shared" si="26"/>
        <v/>
      </c>
      <c r="Q849" s="220" t="str">
        <f t="shared" si="27"/>
        <v/>
      </c>
    </row>
    <row r="850" spans="10:17">
      <c r="J850" s="136" t="str">
        <f t="shared" si="26"/>
        <v/>
      </c>
      <c r="Q850" s="220" t="str">
        <f t="shared" si="27"/>
        <v/>
      </c>
    </row>
    <row r="851" spans="10:17">
      <c r="J851" s="136" t="str">
        <f t="shared" si="26"/>
        <v/>
      </c>
      <c r="Q851" s="220" t="str">
        <f t="shared" si="27"/>
        <v/>
      </c>
    </row>
    <row r="852" spans="10:17">
      <c r="J852" s="136" t="str">
        <f t="shared" si="26"/>
        <v/>
      </c>
      <c r="Q852" s="220" t="str">
        <f t="shared" si="27"/>
        <v/>
      </c>
    </row>
    <row r="853" spans="10:17">
      <c r="J853" s="136" t="str">
        <f t="shared" si="26"/>
        <v/>
      </c>
      <c r="Q853" s="220" t="str">
        <f t="shared" si="27"/>
        <v/>
      </c>
    </row>
    <row r="854" spans="10:17">
      <c r="J854" s="136" t="str">
        <f t="shared" si="26"/>
        <v/>
      </c>
      <c r="Q854" s="220" t="str">
        <f t="shared" si="27"/>
        <v/>
      </c>
    </row>
    <row r="855" spans="10:17">
      <c r="J855" s="136" t="str">
        <f t="shared" si="26"/>
        <v/>
      </c>
      <c r="Q855" s="220" t="str">
        <f t="shared" si="27"/>
        <v/>
      </c>
    </row>
    <row r="856" spans="10:17">
      <c r="J856" s="136" t="str">
        <f t="shared" si="26"/>
        <v/>
      </c>
      <c r="Q856" s="220" t="str">
        <f t="shared" si="27"/>
        <v/>
      </c>
    </row>
    <row r="857" spans="10:17">
      <c r="J857" s="136" t="str">
        <f t="shared" si="26"/>
        <v/>
      </c>
      <c r="Q857" s="220" t="str">
        <f t="shared" si="27"/>
        <v/>
      </c>
    </row>
    <row r="858" spans="10:17">
      <c r="J858" s="136" t="str">
        <f t="shared" si="26"/>
        <v/>
      </c>
      <c r="Q858" s="220" t="str">
        <f t="shared" si="27"/>
        <v/>
      </c>
    </row>
    <row r="859" spans="10:17">
      <c r="J859" s="136" t="str">
        <f t="shared" si="26"/>
        <v/>
      </c>
      <c r="Q859" s="220" t="str">
        <f t="shared" si="27"/>
        <v/>
      </c>
    </row>
    <row r="860" spans="10:17">
      <c r="J860" s="136" t="str">
        <f t="shared" si="26"/>
        <v/>
      </c>
      <c r="Q860" s="220" t="str">
        <f t="shared" si="27"/>
        <v/>
      </c>
    </row>
    <row r="861" spans="10:17">
      <c r="J861" s="136" t="str">
        <f t="shared" si="26"/>
        <v/>
      </c>
      <c r="Q861" s="220" t="str">
        <f t="shared" si="27"/>
        <v/>
      </c>
    </row>
    <row r="862" spans="10:17">
      <c r="J862" s="136" t="str">
        <f t="shared" si="26"/>
        <v/>
      </c>
      <c r="Q862" s="220" t="str">
        <f t="shared" si="27"/>
        <v/>
      </c>
    </row>
    <row r="863" spans="10:17">
      <c r="J863" s="136" t="str">
        <f t="shared" si="26"/>
        <v/>
      </c>
      <c r="Q863" s="220" t="str">
        <f t="shared" si="27"/>
        <v/>
      </c>
    </row>
    <row r="864" spans="10:17">
      <c r="J864" s="136" t="str">
        <f t="shared" si="26"/>
        <v/>
      </c>
      <c r="Q864" s="220" t="str">
        <f t="shared" si="27"/>
        <v/>
      </c>
    </row>
    <row r="865" spans="10:17">
      <c r="J865" s="136" t="str">
        <f t="shared" si="26"/>
        <v/>
      </c>
      <c r="Q865" s="220" t="str">
        <f t="shared" si="27"/>
        <v/>
      </c>
    </row>
    <row r="866" spans="10:17">
      <c r="J866" s="136" t="str">
        <f t="shared" si="26"/>
        <v/>
      </c>
      <c r="Q866" s="220" t="str">
        <f t="shared" si="27"/>
        <v/>
      </c>
    </row>
    <row r="867" spans="10:17">
      <c r="J867" s="136" t="str">
        <f t="shared" si="26"/>
        <v/>
      </c>
      <c r="Q867" s="220" t="str">
        <f t="shared" si="27"/>
        <v/>
      </c>
    </row>
    <row r="868" spans="10:17">
      <c r="J868" s="136" t="str">
        <f t="shared" si="26"/>
        <v/>
      </c>
      <c r="Q868" s="220" t="str">
        <f t="shared" si="27"/>
        <v/>
      </c>
    </row>
    <row r="869" spans="10:17">
      <c r="J869" s="136" t="str">
        <f t="shared" si="26"/>
        <v/>
      </c>
      <c r="Q869" s="220" t="str">
        <f t="shared" si="27"/>
        <v/>
      </c>
    </row>
    <row r="870" spans="10:17">
      <c r="J870" s="136" t="str">
        <f t="shared" si="26"/>
        <v/>
      </c>
      <c r="Q870" s="220" t="str">
        <f t="shared" si="27"/>
        <v/>
      </c>
    </row>
    <row r="871" spans="10:17">
      <c r="J871" s="136" t="str">
        <f t="shared" si="26"/>
        <v/>
      </c>
      <c r="Q871" s="220" t="str">
        <f t="shared" si="27"/>
        <v/>
      </c>
    </row>
    <row r="872" spans="10:17">
      <c r="J872" s="136" t="str">
        <f t="shared" si="26"/>
        <v/>
      </c>
      <c r="Q872" s="220" t="str">
        <f t="shared" si="27"/>
        <v/>
      </c>
    </row>
    <row r="873" spans="10:17">
      <c r="J873" s="136" t="str">
        <f t="shared" si="26"/>
        <v/>
      </c>
      <c r="Q873" s="220" t="str">
        <f t="shared" si="27"/>
        <v/>
      </c>
    </row>
    <row r="874" spans="10:17">
      <c r="J874" s="136" t="str">
        <f t="shared" si="26"/>
        <v/>
      </c>
      <c r="Q874" s="220" t="str">
        <f t="shared" si="27"/>
        <v/>
      </c>
    </row>
    <row r="875" spans="10:17">
      <c r="J875" s="136" t="str">
        <f t="shared" si="26"/>
        <v/>
      </c>
      <c r="Q875" s="220" t="str">
        <f t="shared" si="27"/>
        <v/>
      </c>
    </row>
    <row r="876" spans="10:17">
      <c r="J876" s="136" t="str">
        <f t="shared" si="26"/>
        <v/>
      </c>
      <c r="Q876" s="220" t="str">
        <f t="shared" si="27"/>
        <v/>
      </c>
    </row>
    <row r="877" spans="10:17">
      <c r="J877" s="136" t="str">
        <f t="shared" si="26"/>
        <v/>
      </c>
      <c r="Q877" s="220" t="str">
        <f t="shared" si="27"/>
        <v/>
      </c>
    </row>
    <row r="878" spans="10:17">
      <c r="J878" s="136" t="str">
        <f t="shared" si="26"/>
        <v/>
      </c>
      <c r="Q878" s="220" t="str">
        <f t="shared" si="27"/>
        <v/>
      </c>
    </row>
    <row r="879" spans="10:17">
      <c r="J879" s="136" t="str">
        <f t="shared" si="26"/>
        <v/>
      </c>
      <c r="Q879" s="220" t="str">
        <f t="shared" si="27"/>
        <v/>
      </c>
    </row>
    <row r="880" spans="10:17">
      <c r="J880" s="136" t="str">
        <f t="shared" si="26"/>
        <v/>
      </c>
      <c r="Q880" s="220" t="str">
        <f t="shared" si="27"/>
        <v/>
      </c>
    </row>
    <row r="881" spans="10:17">
      <c r="J881" s="136" t="str">
        <f t="shared" si="26"/>
        <v/>
      </c>
      <c r="Q881" s="220" t="str">
        <f t="shared" si="27"/>
        <v/>
      </c>
    </row>
    <row r="882" spans="10:17">
      <c r="J882" s="136" t="str">
        <f t="shared" si="26"/>
        <v/>
      </c>
      <c r="Q882" s="220" t="str">
        <f t="shared" si="27"/>
        <v/>
      </c>
    </row>
    <row r="883" spans="10:17">
      <c r="J883" s="136" t="str">
        <f t="shared" si="26"/>
        <v/>
      </c>
      <c r="Q883" s="220" t="str">
        <f t="shared" si="27"/>
        <v/>
      </c>
    </row>
    <row r="884" spans="10:17">
      <c r="J884" s="136" t="str">
        <f t="shared" si="26"/>
        <v/>
      </c>
      <c r="Q884" s="220" t="str">
        <f t="shared" si="27"/>
        <v/>
      </c>
    </row>
    <row r="885" spans="10:17">
      <c r="J885" s="136" t="str">
        <f t="shared" si="26"/>
        <v/>
      </c>
      <c r="Q885" s="220" t="str">
        <f t="shared" si="27"/>
        <v/>
      </c>
    </row>
    <row r="886" spans="10:17">
      <c r="J886" s="136" t="str">
        <f t="shared" si="26"/>
        <v/>
      </c>
      <c r="Q886" s="220" t="str">
        <f t="shared" si="27"/>
        <v/>
      </c>
    </row>
    <row r="887" spans="10:17">
      <c r="J887" s="136" t="str">
        <f t="shared" si="26"/>
        <v/>
      </c>
      <c r="Q887" s="220" t="str">
        <f t="shared" si="27"/>
        <v/>
      </c>
    </row>
    <row r="888" spans="10:17">
      <c r="J888" s="136" t="str">
        <f t="shared" si="26"/>
        <v/>
      </c>
      <c r="Q888" s="220" t="str">
        <f t="shared" si="27"/>
        <v/>
      </c>
    </row>
    <row r="889" spans="10:17">
      <c r="J889" s="136" t="str">
        <f t="shared" si="26"/>
        <v/>
      </c>
      <c r="Q889" s="220" t="str">
        <f t="shared" si="27"/>
        <v/>
      </c>
    </row>
    <row r="890" spans="10:17">
      <c r="J890" s="136" t="str">
        <f t="shared" si="26"/>
        <v/>
      </c>
      <c r="Q890" s="220" t="str">
        <f t="shared" si="27"/>
        <v/>
      </c>
    </row>
    <row r="891" spans="10:17">
      <c r="J891" s="136" t="str">
        <f t="shared" si="26"/>
        <v/>
      </c>
      <c r="Q891" s="220" t="str">
        <f t="shared" si="27"/>
        <v/>
      </c>
    </row>
    <row r="892" spans="10:17">
      <c r="J892" s="136" t="str">
        <f t="shared" si="26"/>
        <v/>
      </c>
      <c r="Q892" s="220" t="str">
        <f t="shared" si="27"/>
        <v/>
      </c>
    </row>
    <row r="893" spans="10:17">
      <c r="J893" s="136" t="str">
        <f t="shared" si="26"/>
        <v/>
      </c>
      <c r="Q893" s="220" t="str">
        <f t="shared" si="27"/>
        <v/>
      </c>
    </row>
    <row r="894" spans="10:17">
      <c r="J894" s="136" t="str">
        <f t="shared" si="26"/>
        <v/>
      </c>
      <c r="Q894" s="220" t="str">
        <f t="shared" si="27"/>
        <v/>
      </c>
    </row>
    <row r="895" spans="10:17">
      <c r="J895" s="136" t="str">
        <f t="shared" si="26"/>
        <v/>
      </c>
      <c r="Q895" s="220" t="str">
        <f t="shared" si="27"/>
        <v/>
      </c>
    </row>
    <row r="896" spans="10:17">
      <c r="J896" s="136" t="str">
        <f t="shared" si="26"/>
        <v/>
      </c>
      <c r="Q896" s="220" t="str">
        <f t="shared" si="27"/>
        <v/>
      </c>
    </row>
    <row r="897" spans="10:17">
      <c r="J897" s="136" t="str">
        <f t="shared" si="26"/>
        <v/>
      </c>
      <c r="Q897" s="220" t="str">
        <f t="shared" si="27"/>
        <v/>
      </c>
    </row>
    <row r="898" spans="10:17">
      <c r="J898" s="136" t="str">
        <f t="shared" si="26"/>
        <v/>
      </c>
      <c r="Q898" s="220" t="str">
        <f t="shared" si="27"/>
        <v/>
      </c>
    </row>
    <row r="899" spans="10:17">
      <c r="J899" s="136" t="str">
        <f t="shared" si="26"/>
        <v/>
      </c>
      <c r="Q899" s="220" t="str">
        <f t="shared" si="27"/>
        <v/>
      </c>
    </row>
    <row r="900" spans="10:17">
      <c r="J900" s="136" t="str">
        <f t="shared" si="26"/>
        <v/>
      </c>
      <c r="Q900" s="220" t="str">
        <f t="shared" si="27"/>
        <v/>
      </c>
    </row>
    <row r="901" spans="10:17">
      <c r="J901" s="136" t="str">
        <f t="shared" si="26"/>
        <v/>
      </c>
      <c r="Q901" s="220" t="str">
        <f t="shared" si="27"/>
        <v/>
      </c>
    </row>
    <row r="902" spans="10:17">
      <c r="J902" s="136" t="str">
        <f t="shared" si="26"/>
        <v/>
      </c>
      <c r="Q902" s="220" t="str">
        <f t="shared" si="27"/>
        <v/>
      </c>
    </row>
    <row r="903" spans="10:17">
      <c r="J903" s="136" t="str">
        <f t="shared" si="26"/>
        <v/>
      </c>
      <c r="Q903" s="220" t="str">
        <f t="shared" si="27"/>
        <v/>
      </c>
    </row>
    <row r="904" spans="10:17">
      <c r="J904" s="136" t="str">
        <f t="shared" si="26"/>
        <v/>
      </c>
      <c r="Q904" s="220" t="str">
        <f t="shared" si="27"/>
        <v/>
      </c>
    </row>
    <row r="905" spans="10:17">
      <c r="J905" s="136" t="str">
        <f t="shared" si="26"/>
        <v/>
      </c>
      <c r="Q905" s="220" t="str">
        <f t="shared" si="27"/>
        <v/>
      </c>
    </row>
    <row r="906" spans="10:17">
      <c r="J906" s="136" t="str">
        <f t="shared" si="26"/>
        <v/>
      </c>
      <c r="Q906" s="220" t="str">
        <f t="shared" si="27"/>
        <v/>
      </c>
    </row>
    <row r="907" spans="10:17">
      <c r="J907" s="136" t="str">
        <f t="shared" si="26"/>
        <v/>
      </c>
      <c r="Q907" s="220" t="str">
        <f t="shared" si="27"/>
        <v/>
      </c>
    </row>
    <row r="908" spans="10:17">
      <c r="J908" s="136" t="str">
        <f t="shared" si="26"/>
        <v/>
      </c>
      <c r="Q908" s="220" t="str">
        <f t="shared" si="27"/>
        <v/>
      </c>
    </row>
    <row r="909" spans="10:17">
      <c r="J909" s="136" t="str">
        <f t="shared" si="26"/>
        <v/>
      </c>
      <c r="Q909" s="220" t="str">
        <f t="shared" si="27"/>
        <v/>
      </c>
    </row>
    <row r="910" spans="10:17">
      <c r="J910" s="136" t="str">
        <f t="shared" si="26"/>
        <v/>
      </c>
      <c r="Q910" s="220" t="str">
        <f t="shared" si="27"/>
        <v/>
      </c>
    </row>
    <row r="911" spans="10:17">
      <c r="J911" s="136" t="str">
        <f t="shared" ref="J911:J974" si="28">IF(D911+G911+I911,D911*G911*I911,"")</f>
        <v/>
      </c>
      <c r="Q911" s="220" t="str">
        <f t="shared" ref="Q911:Q974" si="29">IF(N911+O911+P911,N911*O911*P911,"")</f>
        <v/>
      </c>
    </row>
    <row r="912" spans="10:17">
      <c r="J912" s="136" t="str">
        <f t="shared" si="28"/>
        <v/>
      </c>
      <c r="Q912" s="220" t="str">
        <f t="shared" si="29"/>
        <v/>
      </c>
    </row>
    <row r="913" spans="10:17">
      <c r="J913" s="136" t="str">
        <f t="shared" si="28"/>
        <v/>
      </c>
      <c r="Q913" s="220" t="str">
        <f t="shared" si="29"/>
        <v/>
      </c>
    </row>
    <row r="914" spans="10:17">
      <c r="J914" s="136" t="str">
        <f t="shared" si="28"/>
        <v/>
      </c>
      <c r="Q914" s="220" t="str">
        <f t="shared" si="29"/>
        <v/>
      </c>
    </row>
    <row r="915" spans="10:17">
      <c r="J915" s="136" t="str">
        <f t="shared" si="28"/>
        <v/>
      </c>
      <c r="Q915" s="220" t="str">
        <f t="shared" si="29"/>
        <v/>
      </c>
    </row>
    <row r="916" spans="10:17">
      <c r="J916" s="136" t="str">
        <f t="shared" si="28"/>
        <v/>
      </c>
      <c r="Q916" s="220" t="str">
        <f t="shared" si="29"/>
        <v/>
      </c>
    </row>
    <row r="917" spans="10:17">
      <c r="J917" s="136" t="str">
        <f t="shared" si="28"/>
        <v/>
      </c>
      <c r="Q917" s="220" t="str">
        <f t="shared" si="29"/>
        <v/>
      </c>
    </row>
    <row r="918" spans="10:17">
      <c r="J918" s="136" t="str">
        <f t="shared" si="28"/>
        <v/>
      </c>
      <c r="Q918" s="220" t="str">
        <f t="shared" si="29"/>
        <v/>
      </c>
    </row>
    <row r="919" spans="10:17">
      <c r="J919" s="136" t="str">
        <f t="shared" si="28"/>
        <v/>
      </c>
      <c r="Q919" s="220" t="str">
        <f t="shared" si="29"/>
        <v/>
      </c>
    </row>
    <row r="920" spans="10:17">
      <c r="J920" s="136" t="str">
        <f t="shared" si="28"/>
        <v/>
      </c>
      <c r="Q920" s="220" t="str">
        <f t="shared" si="29"/>
        <v/>
      </c>
    </row>
    <row r="921" spans="10:17">
      <c r="J921" s="136" t="str">
        <f t="shared" si="28"/>
        <v/>
      </c>
      <c r="Q921" s="220" t="str">
        <f t="shared" si="29"/>
        <v/>
      </c>
    </row>
    <row r="922" spans="10:17">
      <c r="J922" s="136" t="str">
        <f t="shared" si="28"/>
        <v/>
      </c>
      <c r="Q922" s="220" t="str">
        <f t="shared" si="29"/>
        <v/>
      </c>
    </row>
    <row r="923" spans="10:17">
      <c r="J923" s="136" t="str">
        <f t="shared" si="28"/>
        <v/>
      </c>
      <c r="Q923" s="220" t="str">
        <f t="shared" si="29"/>
        <v/>
      </c>
    </row>
    <row r="924" spans="10:17">
      <c r="J924" s="136" t="str">
        <f t="shared" si="28"/>
        <v/>
      </c>
      <c r="Q924" s="220" t="str">
        <f t="shared" si="29"/>
        <v/>
      </c>
    </row>
    <row r="925" spans="10:17">
      <c r="J925" s="136" t="str">
        <f t="shared" si="28"/>
        <v/>
      </c>
      <c r="Q925" s="220" t="str">
        <f t="shared" si="29"/>
        <v/>
      </c>
    </row>
    <row r="926" spans="10:17">
      <c r="J926" s="136" t="str">
        <f t="shared" si="28"/>
        <v/>
      </c>
      <c r="Q926" s="220" t="str">
        <f t="shared" si="29"/>
        <v/>
      </c>
    </row>
    <row r="927" spans="10:17">
      <c r="J927" s="136" t="str">
        <f t="shared" si="28"/>
        <v/>
      </c>
      <c r="Q927" s="220" t="str">
        <f t="shared" si="29"/>
        <v/>
      </c>
    </row>
    <row r="928" spans="10:17">
      <c r="J928" s="136" t="str">
        <f t="shared" si="28"/>
        <v/>
      </c>
      <c r="Q928" s="220" t="str">
        <f t="shared" si="29"/>
        <v/>
      </c>
    </row>
    <row r="929" spans="10:17">
      <c r="J929" s="136" t="str">
        <f t="shared" si="28"/>
        <v/>
      </c>
      <c r="Q929" s="220" t="str">
        <f t="shared" si="29"/>
        <v/>
      </c>
    </row>
    <row r="930" spans="10:17">
      <c r="J930" s="136" t="str">
        <f t="shared" si="28"/>
        <v/>
      </c>
      <c r="Q930" s="220" t="str">
        <f t="shared" si="29"/>
        <v/>
      </c>
    </row>
    <row r="931" spans="10:17">
      <c r="J931" s="136" t="str">
        <f t="shared" si="28"/>
        <v/>
      </c>
      <c r="Q931" s="220" t="str">
        <f t="shared" si="29"/>
        <v/>
      </c>
    </row>
    <row r="932" spans="10:17">
      <c r="J932" s="136" t="str">
        <f t="shared" si="28"/>
        <v/>
      </c>
      <c r="Q932" s="220" t="str">
        <f t="shared" si="29"/>
        <v/>
      </c>
    </row>
    <row r="933" spans="10:17">
      <c r="J933" s="136" t="str">
        <f t="shared" si="28"/>
        <v/>
      </c>
      <c r="Q933" s="220" t="str">
        <f t="shared" si="29"/>
        <v/>
      </c>
    </row>
    <row r="934" spans="10:17">
      <c r="J934" s="136" t="str">
        <f t="shared" si="28"/>
        <v/>
      </c>
      <c r="Q934" s="220" t="str">
        <f t="shared" si="29"/>
        <v/>
      </c>
    </row>
    <row r="935" spans="10:17">
      <c r="J935" s="136" t="str">
        <f t="shared" si="28"/>
        <v/>
      </c>
      <c r="Q935" s="220" t="str">
        <f t="shared" si="29"/>
        <v/>
      </c>
    </row>
    <row r="936" spans="10:17">
      <c r="J936" s="136" t="str">
        <f t="shared" si="28"/>
        <v/>
      </c>
      <c r="Q936" s="220" t="str">
        <f t="shared" si="29"/>
        <v/>
      </c>
    </row>
    <row r="937" spans="10:17">
      <c r="J937" s="136" t="str">
        <f t="shared" si="28"/>
        <v/>
      </c>
      <c r="Q937" s="220" t="str">
        <f t="shared" si="29"/>
        <v/>
      </c>
    </row>
    <row r="938" spans="10:17">
      <c r="J938" s="136" t="str">
        <f t="shared" si="28"/>
        <v/>
      </c>
      <c r="Q938" s="220" t="str">
        <f t="shared" si="29"/>
        <v/>
      </c>
    </row>
    <row r="939" spans="10:17">
      <c r="J939" s="136" t="str">
        <f t="shared" si="28"/>
        <v/>
      </c>
      <c r="Q939" s="220" t="str">
        <f t="shared" si="29"/>
        <v/>
      </c>
    </row>
    <row r="940" spans="10:17">
      <c r="J940" s="136" t="str">
        <f t="shared" si="28"/>
        <v/>
      </c>
      <c r="Q940" s="220" t="str">
        <f t="shared" si="29"/>
        <v/>
      </c>
    </row>
    <row r="941" spans="10:17">
      <c r="J941" s="136" t="str">
        <f t="shared" si="28"/>
        <v/>
      </c>
      <c r="Q941" s="220" t="str">
        <f t="shared" si="29"/>
        <v/>
      </c>
    </row>
    <row r="942" spans="10:17">
      <c r="J942" s="136" t="str">
        <f t="shared" si="28"/>
        <v/>
      </c>
      <c r="Q942" s="220" t="str">
        <f t="shared" si="29"/>
        <v/>
      </c>
    </row>
    <row r="943" spans="10:17">
      <c r="J943" s="136" t="str">
        <f t="shared" si="28"/>
        <v/>
      </c>
      <c r="Q943" s="220" t="str">
        <f t="shared" si="29"/>
        <v/>
      </c>
    </row>
    <row r="944" spans="10:17">
      <c r="J944" s="136" t="str">
        <f t="shared" si="28"/>
        <v/>
      </c>
      <c r="Q944" s="220" t="str">
        <f t="shared" si="29"/>
        <v/>
      </c>
    </row>
    <row r="945" spans="10:17">
      <c r="J945" s="136" t="str">
        <f t="shared" si="28"/>
        <v/>
      </c>
      <c r="Q945" s="220" t="str">
        <f t="shared" si="29"/>
        <v/>
      </c>
    </row>
    <row r="946" spans="10:17">
      <c r="J946" s="136" t="str">
        <f t="shared" si="28"/>
        <v/>
      </c>
      <c r="Q946" s="220" t="str">
        <f t="shared" si="29"/>
        <v/>
      </c>
    </row>
    <row r="947" spans="10:17">
      <c r="J947" s="136" t="str">
        <f t="shared" si="28"/>
        <v/>
      </c>
      <c r="Q947" s="220" t="str">
        <f t="shared" si="29"/>
        <v/>
      </c>
    </row>
    <row r="948" spans="10:17">
      <c r="J948" s="136" t="str">
        <f t="shared" si="28"/>
        <v/>
      </c>
      <c r="Q948" s="220" t="str">
        <f t="shared" si="29"/>
        <v/>
      </c>
    </row>
    <row r="949" spans="10:17">
      <c r="J949" s="136" t="str">
        <f t="shared" si="28"/>
        <v/>
      </c>
      <c r="Q949" s="220" t="str">
        <f t="shared" si="29"/>
        <v/>
      </c>
    </row>
    <row r="950" spans="10:17">
      <c r="J950" s="136" t="str">
        <f t="shared" si="28"/>
        <v/>
      </c>
      <c r="Q950" s="220" t="str">
        <f t="shared" si="29"/>
        <v/>
      </c>
    </row>
    <row r="951" spans="10:17">
      <c r="J951" s="136" t="str">
        <f t="shared" si="28"/>
        <v/>
      </c>
      <c r="Q951" s="220" t="str">
        <f t="shared" si="29"/>
        <v/>
      </c>
    </row>
    <row r="952" spans="10:17">
      <c r="J952" s="136" t="str">
        <f t="shared" si="28"/>
        <v/>
      </c>
      <c r="Q952" s="220" t="str">
        <f t="shared" si="29"/>
        <v/>
      </c>
    </row>
    <row r="953" spans="10:17">
      <c r="J953" s="136" t="str">
        <f t="shared" si="28"/>
        <v/>
      </c>
      <c r="Q953" s="220" t="str">
        <f t="shared" si="29"/>
        <v/>
      </c>
    </row>
    <row r="954" spans="10:17">
      <c r="J954" s="136" t="str">
        <f t="shared" si="28"/>
        <v/>
      </c>
      <c r="Q954" s="220" t="str">
        <f t="shared" si="29"/>
        <v/>
      </c>
    </row>
    <row r="955" spans="10:17">
      <c r="J955" s="136" t="str">
        <f t="shared" si="28"/>
        <v/>
      </c>
      <c r="Q955" s="220" t="str">
        <f t="shared" si="29"/>
        <v/>
      </c>
    </row>
    <row r="956" spans="10:17">
      <c r="J956" s="136" t="str">
        <f t="shared" si="28"/>
        <v/>
      </c>
      <c r="Q956" s="220" t="str">
        <f t="shared" si="29"/>
        <v/>
      </c>
    </row>
    <row r="957" spans="10:17">
      <c r="J957" s="136" t="str">
        <f t="shared" si="28"/>
        <v/>
      </c>
      <c r="Q957" s="220" t="str">
        <f t="shared" si="29"/>
        <v/>
      </c>
    </row>
    <row r="958" spans="10:17">
      <c r="J958" s="136" t="str">
        <f t="shared" si="28"/>
        <v/>
      </c>
      <c r="Q958" s="220" t="str">
        <f t="shared" si="29"/>
        <v/>
      </c>
    </row>
    <row r="959" spans="10:17">
      <c r="J959" s="136" t="str">
        <f t="shared" si="28"/>
        <v/>
      </c>
      <c r="Q959" s="220" t="str">
        <f t="shared" si="29"/>
        <v/>
      </c>
    </row>
    <row r="960" spans="10:17">
      <c r="J960" s="136" t="str">
        <f t="shared" si="28"/>
        <v/>
      </c>
      <c r="Q960" s="220" t="str">
        <f t="shared" si="29"/>
        <v/>
      </c>
    </row>
    <row r="961" spans="10:17">
      <c r="J961" s="136" t="str">
        <f t="shared" si="28"/>
        <v/>
      </c>
      <c r="Q961" s="220" t="str">
        <f t="shared" si="29"/>
        <v/>
      </c>
    </row>
    <row r="962" spans="10:17">
      <c r="J962" s="136" t="str">
        <f t="shared" si="28"/>
        <v/>
      </c>
      <c r="Q962" s="220" t="str">
        <f t="shared" si="29"/>
        <v/>
      </c>
    </row>
    <row r="963" spans="10:17">
      <c r="J963" s="136" t="str">
        <f t="shared" si="28"/>
        <v/>
      </c>
      <c r="Q963" s="220" t="str">
        <f t="shared" si="29"/>
        <v/>
      </c>
    </row>
    <row r="964" spans="10:17">
      <c r="J964" s="136" t="str">
        <f t="shared" si="28"/>
        <v/>
      </c>
      <c r="Q964" s="220" t="str">
        <f t="shared" si="29"/>
        <v/>
      </c>
    </row>
    <row r="965" spans="10:17">
      <c r="J965" s="136" t="str">
        <f t="shared" si="28"/>
        <v/>
      </c>
      <c r="Q965" s="220" t="str">
        <f t="shared" si="29"/>
        <v/>
      </c>
    </row>
    <row r="966" spans="10:17">
      <c r="J966" s="136" t="str">
        <f t="shared" si="28"/>
        <v/>
      </c>
      <c r="Q966" s="220" t="str">
        <f t="shared" si="29"/>
        <v/>
      </c>
    </row>
    <row r="967" spans="10:17">
      <c r="J967" s="136" t="str">
        <f t="shared" si="28"/>
        <v/>
      </c>
      <c r="Q967" s="220" t="str">
        <f t="shared" si="29"/>
        <v/>
      </c>
    </row>
    <row r="968" spans="10:17">
      <c r="J968" s="136" t="str">
        <f t="shared" si="28"/>
        <v/>
      </c>
      <c r="Q968" s="220" t="str">
        <f t="shared" si="29"/>
        <v/>
      </c>
    </row>
    <row r="969" spans="10:17">
      <c r="J969" s="136" t="str">
        <f t="shared" si="28"/>
        <v/>
      </c>
      <c r="Q969" s="220" t="str">
        <f t="shared" si="29"/>
        <v/>
      </c>
    </row>
    <row r="970" spans="10:17">
      <c r="J970" s="136" t="str">
        <f t="shared" si="28"/>
        <v/>
      </c>
      <c r="Q970" s="220" t="str">
        <f t="shared" si="29"/>
        <v/>
      </c>
    </row>
    <row r="971" spans="10:17">
      <c r="J971" s="136" t="str">
        <f t="shared" si="28"/>
        <v/>
      </c>
      <c r="Q971" s="220" t="str">
        <f t="shared" si="29"/>
        <v/>
      </c>
    </row>
    <row r="972" spans="10:17">
      <c r="J972" s="136" t="str">
        <f t="shared" si="28"/>
        <v/>
      </c>
      <c r="Q972" s="220" t="str">
        <f t="shared" si="29"/>
        <v/>
      </c>
    </row>
    <row r="973" spans="10:17">
      <c r="J973" s="136" t="str">
        <f t="shared" si="28"/>
        <v/>
      </c>
      <c r="Q973" s="220" t="str">
        <f t="shared" si="29"/>
        <v/>
      </c>
    </row>
    <row r="974" spans="10:17">
      <c r="J974" s="136" t="str">
        <f t="shared" si="28"/>
        <v/>
      </c>
      <c r="Q974" s="220" t="str">
        <f t="shared" si="29"/>
        <v/>
      </c>
    </row>
    <row r="975" spans="10:17">
      <c r="J975" s="136" t="str">
        <f t="shared" ref="J975:J999" si="30">IF(D975+G975+I975,D975*G975*I975,"")</f>
        <v/>
      </c>
      <c r="Q975" s="220" t="str">
        <f t="shared" ref="Q975:Q999" si="31">IF(N975+O975+P975,N975*O975*P975,"")</f>
        <v/>
      </c>
    </row>
    <row r="976" spans="10:17">
      <c r="J976" s="136" t="str">
        <f t="shared" si="30"/>
        <v/>
      </c>
      <c r="Q976" s="220" t="str">
        <f t="shared" si="31"/>
        <v/>
      </c>
    </row>
    <row r="977" spans="10:17">
      <c r="J977" s="136" t="str">
        <f t="shared" si="30"/>
        <v/>
      </c>
      <c r="Q977" s="220" t="str">
        <f t="shared" si="31"/>
        <v/>
      </c>
    </row>
    <row r="978" spans="10:17">
      <c r="J978" s="136" t="str">
        <f t="shared" si="30"/>
        <v/>
      </c>
      <c r="Q978" s="220" t="str">
        <f t="shared" si="31"/>
        <v/>
      </c>
    </row>
    <row r="979" spans="10:17">
      <c r="J979" s="136" t="str">
        <f t="shared" si="30"/>
        <v/>
      </c>
      <c r="Q979" s="220" t="str">
        <f t="shared" si="31"/>
        <v/>
      </c>
    </row>
    <row r="980" spans="10:17">
      <c r="J980" s="136" t="str">
        <f t="shared" si="30"/>
        <v/>
      </c>
      <c r="Q980" s="220" t="str">
        <f t="shared" si="31"/>
        <v/>
      </c>
    </row>
    <row r="981" spans="10:17">
      <c r="J981" s="136" t="str">
        <f t="shared" si="30"/>
        <v/>
      </c>
      <c r="Q981" s="220" t="str">
        <f t="shared" si="31"/>
        <v/>
      </c>
    </row>
    <row r="982" spans="10:17">
      <c r="J982" s="136" t="str">
        <f t="shared" si="30"/>
        <v/>
      </c>
      <c r="Q982" s="220" t="str">
        <f t="shared" si="31"/>
        <v/>
      </c>
    </row>
    <row r="983" spans="10:17">
      <c r="J983" s="136" t="str">
        <f t="shared" si="30"/>
        <v/>
      </c>
      <c r="Q983" s="220" t="str">
        <f t="shared" si="31"/>
        <v/>
      </c>
    </row>
    <row r="984" spans="10:17">
      <c r="J984" s="136" t="str">
        <f t="shared" si="30"/>
        <v/>
      </c>
      <c r="Q984" s="220" t="str">
        <f t="shared" si="31"/>
        <v/>
      </c>
    </row>
    <row r="985" spans="10:17">
      <c r="J985" s="136" t="str">
        <f t="shared" si="30"/>
        <v/>
      </c>
      <c r="Q985" s="220" t="str">
        <f t="shared" si="31"/>
        <v/>
      </c>
    </row>
    <row r="986" spans="10:17">
      <c r="J986" s="136" t="str">
        <f t="shared" si="30"/>
        <v/>
      </c>
      <c r="Q986" s="220" t="str">
        <f t="shared" si="31"/>
        <v/>
      </c>
    </row>
    <row r="987" spans="10:17">
      <c r="J987" s="136" t="str">
        <f t="shared" si="30"/>
        <v/>
      </c>
      <c r="Q987" s="220" t="str">
        <f t="shared" si="31"/>
        <v/>
      </c>
    </row>
    <row r="988" spans="10:17">
      <c r="J988" s="136" t="str">
        <f t="shared" si="30"/>
        <v/>
      </c>
      <c r="Q988" s="220" t="str">
        <f t="shared" si="31"/>
        <v/>
      </c>
    </row>
    <row r="989" spans="10:17">
      <c r="J989" s="136" t="str">
        <f t="shared" si="30"/>
        <v/>
      </c>
      <c r="Q989" s="220" t="str">
        <f t="shared" si="31"/>
        <v/>
      </c>
    </row>
    <row r="990" spans="10:17">
      <c r="J990" s="136" t="str">
        <f t="shared" si="30"/>
        <v/>
      </c>
      <c r="Q990" s="220" t="str">
        <f t="shared" si="31"/>
        <v/>
      </c>
    </row>
    <row r="991" spans="10:17">
      <c r="J991" s="136" t="str">
        <f t="shared" si="30"/>
        <v/>
      </c>
      <c r="Q991" s="220" t="str">
        <f t="shared" si="31"/>
        <v/>
      </c>
    </row>
    <row r="992" spans="10:17">
      <c r="J992" s="136" t="str">
        <f t="shared" si="30"/>
        <v/>
      </c>
      <c r="Q992" s="220" t="str">
        <f t="shared" si="31"/>
        <v/>
      </c>
    </row>
    <row r="993" spans="10:17">
      <c r="J993" s="136" t="str">
        <f t="shared" si="30"/>
        <v/>
      </c>
      <c r="Q993" s="220" t="str">
        <f t="shared" si="31"/>
        <v/>
      </c>
    </row>
    <row r="994" spans="10:17">
      <c r="J994" s="136" t="str">
        <f t="shared" si="30"/>
        <v/>
      </c>
      <c r="Q994" s="220" t="str">
        <f t="shared" si="31"/>
        <v/>
      </c>
    </row>
    <row r="995" spans="10:17">
      <c r="J995" s="136" t="str">
        <f t="shared" si="30"/>
        <v/>
      </c>
      <c r="Q995" s="220" t="str">
        <f t="shared" si="31"/>
        <v/>
      </c>
    </row>
    <row r="996" spans="10:17">
      <c r="J996" s="136" t="str">
        <f t="shared" si="30"/>
        <v/>
      </c>
      <c r="Q996" s="220" t="str">
        <f t="shared" si="31"/>
        <v/>
      </c>
    </row>
    <row r="997" spans="10:17">
      <c r="J997" s="136" t="str">
        <f t="shared" si="30"/>
        <v/>
      </c>
      <c r="Q997" s="220" t="str">
        <f t="shared" si="31"/>
        <v/>
      </c>
    </row>
    <row r="998" spans="10:17">
      <c r="J998" s="136" t="str">
        <f t="shared" si="30"/>
        <v/>
      </c>
      <c r="Q998" s="220" t="str">
        <f t="shared" si="31"/>
        <v/>
      </c>
    </row>
    <row r="999" spans="10:17">
      <c r="J999" s="136" t="str">
        <f t="shared" si="30"/>
        <v/>
      </c>
      <c r="Q999" s="220" t="str">
        <f t="shared" si="31"/>
        <v/>
      </c>
    </row>
  </sheetData>
  <phoneticPr fontId="16" type="noConversion"/>
  <pageMargins left="0.19685039370078741" right="0.19685039370078741" top="0.51181102362204722" bottom="0.43307086614173229" header="1.1811023622047245" footer="0.19685039370078741"/>
  <pageSetup orientation="landscape" useFirstPageNumber="1" r:id="rId1"/>
  <headerFooter alignWithMargins="0">
    <oddHeader>&amp;C                                                                  &amp;P of  &amp;N</oddHeader>
  </headerFooter>
  <customProperties>
    <customPr name="Ibp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28677" r:id="rId5" name="Option Button 5">
              <controlPr defaultSize="0" autoFill="0" autoLine="0" autoPict="0">
                <anchor moveWithCells="1">
                  <from>
                    <xdr:col>5</xdr:col>
                    <xdr:colOff>0</xdr:colOff>
                    <xdr:row>1</xdr:row>
                    <xdr:rowOff>85725</xdr:rowOff>
                  </from>
                  <to>
                    <xdr:col>7</xdr:col>
                    <xdr:colOff>371475</xdr:colOff>
                    <xdr:row>1</xdr:row>
                    <xdr:rowOff>295275</xdr:rowOff>
                  </to>
                </anchor>
              </controlPr>
            </control>
          </mc:Choice>
        </mc:AlternateContent>
        <mc:AlternateContent xmlns:mc="http://schemas.openxmlformats.org/markup-compatibility/2006">
          <mc:Choice Requires="x14">
            <control shapeId="28678" r:id="rId6" name="Option Button 6">
              <controlPr defaultSize="0" autoFill="0" autoLine="0" autoPict="0">
                <anchor moveWithCells="1">
                  <from>
                    <xdr:col>7</xdr:col>
                    <xdr:colOff>19050</xdr:colOff>
                    <xdr:row>1</xdr:row>
                    <xdr:rowOff>85725</xdr:rowOff>
                  </from>
                  <to>
                    <xdr:col>10</xdr:col>
                    <xdr:colOff>285750</xdr:colOff>
                    <xdr:row>1</xdr:row>
                    <xdr:rowOff>295275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showGridLines="0" zoomScale="125" zoomScaleNormal="125" workbookViewId="0">
      <selection activeCell="C20" sqref="C20"/>
    </sheetView>
  </sheetViews>
  <sheetFormatPr defaultRowHeight="12.75"/>
  <cols>
    <col min="1" max="1" width="7.85546875" style="23" customWidth="1"/>
    <col min="2" max="2" width="24.28515625" style="23" customWidth="1"/>
    <col min="3" max="3" width="35.7109375" style="23" customWidth="1"/>
    <col min="4" max="4" width="15.28515625" style="23" customWidth="1"/>
    <col min="5" max="5" width="14" style="23" customWidth="1"/>
    <col min="6" max="6" width="9.140625" style="202" hidden="1" customWidth="1"/>
    <col min="7" max="16384" width="9.140625" style="23"/>
  </cols>
  <sheetData>
    <row r="1" spans="1:6" ht="9.75" customHeight="1">
      <c r="A1" s="3"/>
      <c r="B1" s="3"/>
      <c r="C1" s="3"/>
      <c r="D1" s="3"/>
      <c r="E1" s="3"/>
      <c r="F1" s="246" t="b">
        <v>1</v>
      </c>
    </row>
    <row r="2" spans="1:6" ht="16.5" customHeight="1">
      <c r="A2" s="3"/>
      <c r="B2" s="3"/>
      <c r="C2" s="3"/>
      <c r="D2" s="3"/>
      <c r="E2" s="3"/>
      <c r="F2" s="188"/>
    </row>
    <row r="3" spans="1:6" ht="16.5" customHeight="1">
      <c r="A3" s="3"/>
      <c r="B3" s="3"/>
      <c r="C3" s="3"/>
      <c r="D3" s="3"/>
      <c r="E3" s="3"/>
      <c r="F3" s="188"/>
    </row>
    <row r="4" spans="1:6">
      <c r="A4" s="27"/>
      <c r="B4" s="27"/>
      <c r="C4" s="27"/>
      <c r="D4" s="351"/>
      <c r="E4" s="10"/>
      <c r="F4" s="184" t="s">
        <v>10</v>
      </c>
    </row>
    <row r="5" spans="1:6" s="24" customFormat="1" ht="11.25">
      <c r="A5" s="257" t="s">
        <v>98</v>
      </c>
      <c r="B5" s="266"/>
      <c r="C5" s="257" t="s">
        <v>254</v>
      </c>
      <c r="D5" s="265"/>
      <c r="E5" s="12"/>
      <c r="F5" s="201"/>
    </row>
    <row r="6" spans="1:6">
      <c r="A6" s="156"/>
      <c r="B6" s="268"/>
      <c r="C6" s="156"/>
      <c r="D6" s="145"/>
      <c r="E6" s="11"/>
    </row>
    <row r="7" spans="1:6" s="24" customFormat="1" ht="11.25">
      <c r="A7" s="257" t="s">
        <v>283</v>
      </c>
      <c r="B7" s="266"/>
      <c r="C7" s="257" t="s">
        <v>256</v>
      </c>
      <c r="D7" s="258"/>
      <c r="E7" s="8"/>
      <c r="F7" s="201"/>
    </row>
    <row r="8" spans="1:6" ht="13.5" thickBot="1">
      <c r="A8" s="156"/>
      <c r="B8" s="268"/>
      <c r="C8" s="156"/>
      <c r="D8" s="145"/>
      <c r="E8" s="11"/>
    </row>
    <row r="9" spans="1:6" s="207" customFormat="1">
      <c r="A9" s="548" t="s">
        <v>281</v>
      </c>
      <c r="B9" s="442" t="s">
        <v>288</v>
      </c>
      <c r="C9" s="442" t="s">
        <v>289</v>
      </c>
      <c r="D9" s="442" t="s">
        <v>290</v>
      </c>
      <c r="E9" s="549" t="s">
        <v>292</v>
      </c>
      <c r="F9" s="244"/>
    </row>
    <row r="10" spans="1:6" s="211" customFormat="1">
      <c r="A10" s="212"/>
      <c r="B10" s="213"/>
      <c r="C10" s="213"/>
      <c r="D10" s="213"/>
      <c r="E10" s="214"/>
      <c r="F10" s="245"/>
    </row>
    <row r="11" spans="1:6" s="211" customFormat="1">
      <c r="A11" s="212"/>
      <c r="B11" s="213"/>
      <c r="C11" s="213"/>
      <c r="D11" s="213"/>
      <c r="E11" s="214"/>
      <c r="F11" s="245"/>
    </row>
    <row r="12" spans="1:6" s="211" customFormat="1">
      <c r="A12" s="212"/>
      <c r="B12" s="213"/>
      <c r="C12" s="213"/>
      <c r="D12" s="213"/>
      <c r="E12" s="214"/>
      <c r="F12" s="245"/>
    </row>
    <row r="13" spans="1:6" s="211" customFormat="1">
      <c r="A13" s="212"/>
      <c r="B13" s="213"/>
      <c r="C13" s="213"/>
      <c r="D13" s="213"/>
      <c r="E13" s="214"/>
      <c r="F13" s="245"/>
    </row>
    <row r="14" spans="1:6" s="211" customFormat="1">
      <c r="A14" s="212"/>
      <c r="B14" s="213"/>
      <c r="C14" s="213"/>
      <c r="D14" s="213"/>
      <c r="E14" s="214"/>
      <c r="F14" s="245"/>
    </row>
    <row r="15" spans="1:6" s="211" customFormat="1">
      <c r="A15" s="212"/>
      <c r="B15" s="213"/>
      <c r="C15" s="213"/>
      <c r="D15" s="213"/>
      <c r="E15" s="214"/>
      <c r="F15" s="245"/>
    </row>
    <row r="16" spans="1:6" s="211" customFormat="1">
      <c r="A16" s="212"/>
      <c r="B16" s="213"/>
      <c r="C16" s="213"/>
      <c r="D16" s="213"/>
      <c r="E16" s="214"/>
      <c r="F16" s="245"/>
    </row>
    <row r="17" spans="1:6" s="211" customFormat="1">
      <c r="A17" s="212"/>
      <c r="B17" s="213"/>
      <c r="C17" s="213"/>
      <c r="D17" s="213"/>
      <c r="E17" s="214"/>
      <c r="F17" s="245"/>
    </row>
    <row r="18" spans="1:6" s="211" customFormat="1">
      <c r="A18" s="212"/>
      <c r="B18" s="213"/>
      <c r="C18" s="213"/>
      <c r="D18" s="213"/>
      <c r="E18" s="214"/>
      <c r="F18" s="245"/>
    </row>
    <row r="19" spans="1:6" s="211" customFormat="1">
      <c r="A19" s="212"/>
      <c r="B19" s="213"/>
      <c r="C19" s="213"/>
      <c r="D19" s="213"/>
      <c r="E19" s="214"/>
      <c r="F19" s="245"/>
    </row>
    <row r="20" spans="1:6" s="211" customFormat="1">
      <c r="A20" s="212"/>
      <c r="B20" s="213"/>
      <c r="C20" s="213"/>
      <c r="D20" s="213"/>
      <c r="E20" s="214"/>
      <c r="F20" s="245"/>
    </row>
    <row r="21" spans="1:6" s="211" customFormat="1">
      <c r="A21" s="212"/>
      <c r="B21" s="213"/>
      <c r="C21" s="213"/>
      <c r="D21" s="213"/>
      <c r="E21" s="214"/>
      <c r="F21" s="245"/>
    </row>
    <row r="22" spans="1:6" s="211" customFormat="1">
      <c r="A22" s="212"/>
      <c r="B22" s="213"/>
      <c r="C22" s="213"/>
      <c r="D22" s="213"/>
      <c r="E22" s="214"/>
      <c r="F22" s="245"/>
    </row>
    <row r="23" spans="1:6" s="211" customFormat="1">
      <c r="A23" s="212"/>
      <c r="B23" s="213"/>
      <c r="C23" s="213"/>
      <c r="D23" s="213"/>
      <c r="E23" s="214"/>
      <c r="F23" s="245"/>
    </row>
    <row r="24" spans="1:6" s="211" customFormat="1">
      <c r="A24" s="212"/>
      <c r="B24" s="213"/>
      <c r="C24" s="213"/>
      <c r="D24" s="213"/>
      <c r="E24" s="214"/>
      <c r="F24" s="245"/>
    </row>
    <row r="25" spans="1:6" s="211" customFormat="1">
      <c r="A25" s="212"/>
      <c r="B25" s="213"/>
      <c r="C25" s="213"/>
      <c r="D25" s="213"/>
      <c r="E25" s="214"/>
      <c r="F25" s="245"/>
    </row>
    <row r="26" spans="1:6" s="211" customFormat="1">
      <c r="A26" s="212"/>
      <c r="B26" s="213"/>
      <c r="C26" s="213"/>
      <c r="D26" s="213"/>
      <c r="E26" s="214"/>
      <c r="F26" s="245"/>
    </row>
    <row r="27" spans="1:6" s="211" customFormat="1">
      <c r="A27" s="212"/>
      <c r="B27" s="213"/>
      <c r="C27" s="213"/>
      <c r="D27" s="213"/>
      <c r="E27" s="214"/>
      <c r="F27" s="245"/>
    </row>
    <row r="28" spans="1:6" s="211" customFormat="1">
      <c r="A28" s="212"/>
      <c r="B28" s="213"/>
      <c r="C28" s="213"/>
      <c r="D28" s="213"/>
      <c r="E28" s="214"/>
      <c r="F28" s="245"/>
    </row>
    <row r="29" spans="1:6" s="211" customFormat="1">
      <c r="A29" s="212"/>
      <c r="B29" s="213"/>
      <c r="C29" s="213"/>
      <c r="D29" s="213"/>
      <c r="E29" s="214"/>
      <c r="F29" s="245"/>
    </row>
    <row r="30" spans="1:6" s="211" customFormat="1">
      <c r="A30" s="212"/>
      <c r="B30" s="213"/>
      <c r="C30" s="213"/>
      <c r="D30" s="213"/>
      <c r="E30" s="214"/>
      <c r="F30" s="245"/>
    </row>
    <row r="31" spans="1:6" s="211" customFormat="1">
      <c r="A31" s="212"/>
      <c r="B31" s="213"/>
      <c r="C31" s="213"/>
      <c r="D31" s="213"/>
      <c r="E31" s="214"/>
      <c r="F31" s="245"/>
    </row>
    <row r="32" spans="1:6" s="211" customFormat="1">
      <c r="A32" s="212"/>
      <c r="B32" s="213"/>
      <c r="C32" s="213"/>
      <c r="D32" s="213"/>
      <c r="E32" s="214"/>
      <c r="F32" s="245"/>
    </row>
    <row r="33" spans="1:6" s="211" customFormat="1">
      <c r="A33" s="212"/>
      <c r="B33" s="213"/>
      <c r="C33" s="213"/>
      <c r="D33" s="213"/>
      <c r="E33" s="214"/>
      <c r="F33" s="245"/>
    </row>
    <row r="34" spans="1:6" s="211" customFormat="1">
      <c r="A34" s="212"/>
      <c r="B34" s="213"/>
      <c r="C34" s="213"/>
      <c r="D34" s="213"/>
      <c r="E34" s="214"/>
      <c r="F34" s="245"/>
    </row>
    <row r="35" spans="1:6" s="211" customFormat="1">
      <c r="A35" s="212"/>
      <c r="B35" s="213"/>
      <c r="C35" s="213"/>
      <c r="D35" s="213"/>
      <c r="E35" s="214"/>
      <c r="F35" s="245"/>
    </row>
    <row r="36" spans="1:6" s="211" customFormat="1">
      <c r="A36" s="212"/>
      <c r="B36" s="213"/>
      <c r="C36" s="213"/>
      <c r="D36" s="213"/>
      <c r="E36" s="214"/>
      <c r="F36" s="245"/>
    </row>
    <row r="37" spans="1:6" s="211" customFormat="1">
      <c r="A37" s="212"/>
      <c r="B37" s="213"/>
      <c r="C37" s="213"/>
      <c r="D37" s="213"/>
      <c r="E37" s="214"/>
      <c r="F37" s="245"/>
    </row>
    <row r="38" spans="1:6" s="211" customFormat="1">
      <c r="A38" s="212"/>
      <c r="B38" s="213"/>
      <c r="C38" s="213"/>
      <c r="D38" s="213"/>
      <c r="E38" s="214"/>
      <c r="F38" s="245"/>
    </row>
    <row r="39" spans="1:6" s="211" customFormat="1">
      <c r="A39" s="212"/>
      <c r="B39" s="213"/>
      <c r="C39" s="213"/>
      <c r="D39" s="213"/>
      <c r="E39" s="214"/>
      <c r="F39" s="245"/>
    </row>
    <row r="40" spans="1:6" s="211" customFormat="1">
      <c r="A40" s="212"/>
      <c r="B40" s="213"/>
      <c r="C40" s="213"/>
      <c r="D40" s="213"/>
      <c r="E40" s="214"/>
      <c r="F40" s="245"/>
    </row>
    <row r="41" spans="1:6" s="211" customFormat="1">
      <c r="A41" s="212"/>
      <c r="B41" s="213"/>
      <c r="C41" s="213"/>
      <c r="D41" s="213"/>
      <c r="E41" s="214"/>
      <c r="F41" s="245"/>
    </row>
    <row r="42" spans="1:6" s="211" customFormat="1">
      <c r="A42" s="212"/>
      <c r="B42" s="213"/>
      <c r="C42" s="213"/>
      <c r="D42" s="213"/>
      <c r="E42" s="214"/>
      <c r="F42" s="245"/>
    </row>
    <row r="43" spans="1:6" s="211" customFormat="1">
      <c r="A43" s="212"/>
      <c r="B43" s="213"/>
      <c r="C43" s="213"/>
      <c r="D43" s="213"/>
      <c r="E43" s="214"/>
      <c r="F43" s="245"/>
    </row>
    <row r="44" spans="1:6" s="211" customFormat="1">
      <c r="A44" s="212"/>
      <c r="B44" s="213"/>
      <c r="C44" s="213"/>
      <c r="D44" s="213"/>
      <c r="E44" s="214"/>
      <c r="F44" s="245"/>
    </row>
    <row r="45" spans="1:6" s="211" customFormat="1">
      <c r="A45" s="212"/>
      <c r="B45" s="213"/>
      <c r="C45" s="213"/>
      <c r="D45" s="213"/>
      <c r="E45" s="214"/>
      <c r="F45" s="245"/>
    </row>
    <row r="46" spans="1:6" s="211" customFormat="1">
      <c r="A46" s="212"/>
      <c r="B46" s="213"/>
      <c r="C46" s="213"/>
      <c r="D46" s="213"/>
      <c r="E46" s="214"/>
      <c r="F46" s="245"/>
    </row>
    <row r="47" spans="1:6" s="211" customFormat="1" ht="13.5" thickBot="1">
      <c r="A47" s="215"/>
      <c r="B47" s="216"/>
      <c r="C47" s="216"/>
      <c r="D47" s="216"/>
      <c r="E47" s="217"/>
      <c r="F47" s="245"/>
    </row>
    <row r="48" spans="1:6">
      <c r="A48" s="3"/>
      <c r="B48" s="352"/>
      <c r="C48" s="352"/>
      <c r="D48" s="352"/>
      <c r="E48" s="3"/>
    </row>
    <row r="49" spans="1:6" s="24" customFormat="1" ht="11.25">
      <c r="A49" s="172"/>
      <c r="B49" s="353" t="s">
        <v>76</v>
      </c>
      <c r="C49" s="550" t="s">
        <v>291</v>
      </c>
      <c r="D49" s="299" t="s">
        <v>27</v>
      </c>
      <c r="E49" s="8"/>
      <c r="F49" s="201"/>
    </row>
    <row r="50" spans="1:6">
      <c r="A50" s="3"/>
      <c r="B50" s="219"/>
      <c r="C50" s="219"/>
      <c r="D50" s="218"/>
      <c r="E50" s="198"/>
    </row>
  </sheetData>
  <pageMargins left="0.39370078740157483" right="0.31496062992125984" top="0.6692913385826772" bottom="0.70866141732283472" header="0.39370078740157483" footer="0.51181102362204722"/>
  <pageSetup scale="95" orientation="portrait" r:id="rId1"/>
  <headerFooter alignWithMargins="0">
    <oddHeader>&amp;R
&amp;P of &amp;N</oddHeader>
    <oddFooter>Страница &amp;P&amp;RProduction Part Approval Process</oddFooter>
  </headerFooter>
  <customProperties>
    <customPr name="IbpWorksheetKeyString_GUID" r:id="rId2"/>
  </customPropertie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9"/>
  <sheetViews>
    <sheetView showGridLines="0" view="pageBreakPreview" zoomScale="60" zoomScaleNormal="100" workbookViewId="0">
      <pane ySplit="16" topLeftCell="A17" activePane="bottomLeft" state="frozen"/>
      <selection pane="bottomLeft" activeCell="F11" sqref="F11"/>
    </sheetView>
  </sheetViews>
  <sheetFormatPr defaultRowHeight="12.75"/>
  <cols>
    <col min="1" max="1" width="5" style="140" customWidth="1"/>
    <col min="2" max="2" width="12.7109375" style="140" customWidth="1"/>
    <col min="3" max="3" width="13.28515625" style="140" customWidth="1"/>
    <col min="4" max="4" width="4.7109375" style="140" customWidth="1"/>
    <col min="5" max="6" width="12.7109375" style="140" customWidth="1"/>
    <col min="7" max="7" width="10.7109375" style="140" customWidth="1"/>
    <col min="8" max="8" width="12.7109375" style="140" customWidth="1"/>
    <col min="9" max="9" width="10.7109375" style="140" customWidth="1"/>
    <col min="10" max="10" width="5.5703125" style="140" customWidth="1"/>
    <col min="11" max="11" width="4.7109375" style="140" customWidth="1"/>
    <col min="12" max="12" width="10.7109375" style="140" customWidth="1"/>
    <col min="13" max="13" width="15.7109375" style="133" customWidth="1"/>
    <col min="14" max="15" width="0" style="190" hidden="1" customWidth="1"/>
    <col min="16" max="16384" width="9.140625" style="23"/>
  </cols>
  <sheetData>
    <row r="1" spans="1:15">
      <c r="A1"/>
      <c r="B1"/>
      <c r="C1" s="137"/>
      <c r="D1" s="137"/>
      <c r="E1" s="138"/>
      <c r="F1" s="383" t="s">
        <v>113</v>
      </c>
      <c r="G1" s="139"/>
      <c r="H1" s="139"/>
      <c r="I1" s="137"/>
      <c r="J1" s="137"/>
      <c r="K1" s="137"/>
      <c r="L1" s="137"/>
      <c r="M1" s="137"/>
      <c r="N1" s="188"/>
      <c r="O1" s="188"/>
    </row>
    <row r="2" spans="1:15" s="24" customFormat="1" ht="11.25">
      <c r="A2" s="375"/>
      <c r="B2" s="375"/>
      <c r="C2" s="375"/>
      <c r="D2" s="375"/>
      <c r="E2" s="375"/>
      <c r="F2" s="375"/>
      <c r="G2" s="375"/>
      <c r="H2" s="375"/>
      <c r="I2" s="375"/>
      <c r="J2" s="375"/>
      <c r="K2" s="375"/>
      <c r="L2" s="375"/>
      <c r="M2" s="375"/>
      <c r="N2" s="184" t="s">
        <v>8</v>
      </c>
      <c r="O2" s="189"/>
    </row>
    <row r="3" spans="1:15" s="24" customFormat="1" ht="11.25">
      <c r="A3" s="359" t="s">
        <v>114</v>
      </c>
      <c r="B3" s="360"/>
      <c r="C3" s="360"/>
      <c r="D3" s="360"/>
      <c r="E3" s="361"/>
      <c r="F3" s="359" t="s">
        <v>115</v>
      </c>
      <c r="G3" s="360"/>
      <c r="H3" s="361"/>
      <c r="I3" s="359" t="s">
        <v>116</v>
      </c>
      <c r="J3" s="361"/>
      <c r="K3" s="359" t="s">
        <v>117</v>
      </c>
      <c r="L3" s="361"/>
      <c r="M3" s="362" t="s">
        <v>72</v>
      </c>
      <c r="N3" s="184" t="s">
        <v>5</v>
      </c>
      <c r="O3" s="189"/>
    </row>
    <row r="4" spans="1:15">
      <c r="A4" s="363"/>
      <c r="B4" s="364"/>
      <c r="C4" s="364"/>
      <c r="D4" s="364"/>
      <c r="E4" s="365"/>
      <c r="F4" s="366" t="s">
        <v>1</v>
      </c>
      <c r="G4" s="364"/>
      <c r="H4" s="365"/>
      <c r="I4" s="367" t="s">
        <v>1</v>
      </c>
      <c r="J4" s="368"/>
      <c r="K4" s="367" t="s">
        <v>1</v>
      </c>
      <c r="L4" s="368"/>
      <c r="M4" s="369"/>
      <c r="N4" s="184" t="s">
        <v>10</v>
      </c>
    </row>
    <row r="5" spans="1:15" s="24" customFormat="1" ht="11.25">
      <c r="A5" s="359" t="s">
        <v>118</v>
      </c>
      <c r="B5" s="360"/>
      <c r="C5" s="360"/>
      <c r="D5" s="360"/>
      <c r="E5" s="361"/>
      <c r="F5" s="370" t="s">
        <v>119</v>
      </c>
      <c r="G5" s="360"/>
      <c r="H5" s="361"/>
      <c r="I5" s="384" t="s">
        <v>123</v>
      </c>
      <c r="J5" s="360"/>
      <c r="K5" s="360"/>
      <c r="L5" s="361"/>
      <c r="M5" s="362" t="s">
        <v>120</v>
      </c>
      <c r="N5" s="184" t="s">
        <v>13</v>
      </c>
      <c r="O5" s="189"/>
    </row>
    <row r="6" spans="1:15">
      <c r="A6" s="366" t="s">
        <v>1</v>
      </c>
      <c r="B6" s="364"/>
      <c r="C6" s="364"/>
      <c r="D6" s="364"/>
      <c r="E6" s="365"/>
      <c r="F6" s="267" t="s">
        <v>1</v>
      </c>
      <c r="G6" s="364"/>
      <c r="H6" s="365"/>
      <c r="I6" s="366" t="s">
        <v>1</v>
      </c>
      <c r="J6" s="364"/>
      <c r="K6" s="364"/>
      <c r="L6" s="365"/>
      <c r="M6" s="371" t="s">
        <v>1</v>
      </c>
    </row>
    <row r="7" spans="1:15" s="24" customFormat="1" ht="11.25">
      <c r="A7" s="359" t="s">
        <v>81</v>
      </c>
      <c r="B7" s="360"/>
      <c r="C7" s="227"/>
      <c r="D7" s="361"/>
      <c r="E7" s="362" t="s">
        <v>23</v>
      </c>
      <c r="F7" s="359" t="s">
        <v>121</v>
      </c>
      <c r="G7" s="360"/>
      <c r="H7" s="361"/>
      <c r="I7" s="384" t="s">
        <v>122</v>
      </c>
      <c r="J7" s="360"/>
      <c r="K7" s="360"/>
      <c r="L7" s="361"/>
      <c r="M7" s="362" t="s">
        <v>120</v>
      </c>
      <c r="N7" s="189"/>
      <c r="O7" s="189"/>
    </row>
    <row r="8" spans="1:15">
      <c r="A8" s="297"/>
      <c r="B8" s="364"/>
      <c r="C8" s="364"/>
      <c r="D8" s="365"/>
      <c r="E8" s="372"/>
      <c r="F8" s="373" t="s">
        <v>1</v>
      </c>
      <c r="G8" s="374"/>
      <c r="H8" s="368"/>
      <c r="I8" s="366" t="s">
        <v>1</v>
      </c>
      <c r="J8" s="364"/>
      <c r="K8" s="364"/>
      <c r="L8" s="365"/>
      <c r="M8" s="371" t="s">
        <v>1</v>
      </c>
    </row>
    <row r="9" spans="1:15" s="24" customFormat="1" ht="11.25">
      <c r="A9" s="359" t="s">
        <v>124</v>
      </c>
      <c r="B9" s="360"/>
      <c r="C9" s="227"/>
      <c r="D9" s="360"/>
      <c r="E9" s="227"/>
      <c r="F9" s="359" t="s">
        <v>125</v>
      </c>
      <c r="G9" s="360"/>
      <c r="H9" s="361"/>
      <c r="I9" s="384" t="s">
        <v>125</v>
      </c>
      <c r="J9" s="360"/>
      <c r="K9" s="360"/>
      <c r="L9" s="361"/>
      <c r="M9" s="362" t="s">
        <v>120</v>
      </c>
      <c r="N9" s="189"/>
      <c r="O9" s="189"/>
    </row>
    <row r="10" spans="1:15">
      <c r="A10" s="297"/>
      <c r="B10" s="364"/>
      <c r="C10" s="364"/>
      <c r="D10" s="364"/>
      <c r="E10" s="365"/>
      <c r="F10" s="366" t="s">
        <v>1</v>
      </c>
      <c r="G10" s="364"/>
      <c r="H10" s="365"/>
      <c r="I10" s="366" t="s">
        <v>1</v>
      </c>
      <c r="J10" s="364"/>
      <c r="K10" s="364"/>
      <c r="L10" s="365"/>
      <c r="M10" s="371" t="s">
        <v>1</v>
      </c>
    </row>
    <row r="11" spans="1:15" s="24" customFormat="1" ht="11.25">
      <c r="A11" s="359" t="s">
        <v>126</v>
      </c>
      <c r="B11" s="360"/>
      <c r="C11" s="227"/>
      <c r="D11" s="359" t="s">
        <v>32</v>
      </c>
      <c r="E11" s="361" t="s">
        <v>22</v>
      </c>
      <c r="F11" s="359" t="s">
        <v>127</v>
      </c>
      <c r="G11" s="360"/>
      <c r="H11" s="361"/>
      <c r="I11" s="375"/>
      <c r="J11" s="375"/>
      <c r="K11" s="375"/>
      <c r="L11" s="375"/>
      <c r="M11" s="375"/>
      <c r="N11" s="189"/>
      <c r="O11" s="189"/>
    </row>
    <row r="12" spans="1:15" s="25" customFormat="1">
      <c r="A12" s="376"/>
      <c r="B12" s="364"/>
      <c r="C12" s="365"/>
      <c r="D12" s="376"/>
      <c r="E12" s="365"/>
      <c r="F12" s="367" t="s">
        <v>1</v>
      </c>
      <c r="G12" s="374"/>
      <c r="H12" s="368"/>
      <c r="I12" s="375"/>
      <c r="J12" s="375"/>
      <c r="K12" s="375"/>
      <c r="L12" s="375"/>
      <c r="M12" s="375"/>
      <c r="N12" s="190"/>
      <c r="O12" s="190"/>
    </row>
    <row r="13" spans="1:15" s="24" customFormat="1" ht="11.25">
      <c r="A13" s="359" t="s">
        <v>731</v>
      </c>
      <c r="B13" s="360"/>
      <c r="C13" s="360"/>
      <c r="D13" s="360"/>
      <c r="E13" s="227"/>
      <c r="F13" s="360"/>
      <c r="G13" s="360"/>
      <c r="H13" s="360"/>
      <c r="I13" s="360"/>
      <c r="J13" s="360"/>
      <c r="K13" s="360"/>
      <c r="L13" s="360"/>
      <c r="M13" s="361"/>
      <c r="N13" s="189"/>
      <c r="O13" s="189"/>
    </row>
    <row r="14" spans="1:15" s="25" customFormat="1">
      <c r="A14" s="256"/>
      <c r="B14" s="375"/>
      <c r="C14" s="375"/>
      <c r="D14" s="375"/>
      <c r="E14" s="375"/>
      <c r="F14" s="375"/>
      <c r="G14" s="375"/>
      <c r="H14" s="375"/>
      <c r="I14" s="375"/>
      <c r="J14" s="375"/>
      <c r="K14" s="375"/>
      <c r="L14" s="375"/>
      <c r="M14" s="377"/>
      <c r="N14" s="190"/>
      <c r="O14" s="190"/>
    </row>
    <row r="15" spans="1:15" s="24" customFormat="1" ht="11.25">
      <c r="A15" s="378"/>
      <c r="B15" s="378"/>
      <c r="C15" s="378"/>
      <c r="D15" s="379"/>
      <c r="E15" s="380" t="s">
        <v>130</v>
      </c>
      <c r="F15" s="381"/>
      <c r="G15" s="378"/>
      <c r="H15" s="379" t="s">
        <v>234</v>
      </c>
      <c r="I15" s="380"/>
      <c r="J15" s="380"/>
      <c r="K15" s="380"/>
      <c r="L15" s="381"/>
      <c r="M15" s="378"/>
      <c r="N15" s="189"/>
      <c r="O15" s="189"/>
    </row>
    <row r="16" spans="1:15" s="68" customFormat="1" ht="56.25">
      <c r="A16" s="382" t="s">
        <v>733</v>
      </c>
      <c r="B16" s="382" t="s">
        <v>128</v>
      </c>
      <c r="C16" s="382" t="s">
        <v>129</v>
      </c>
      <c r="D16" s="288" t="s">
        <v>24</v>
      </c>
      <c r="E16" s="288" t="s">
        <v>131</v>
      </c>
      <c r="F16" s="288" t="s">
        <v>132</v>
      </c>
      <c r="G16" s="382" t="s">
        <v>732</v>
      </c>
      <c r="H16" s="288" t="s">
        <v>133</v>
      </c>
      <c r="I16" s="288" t="s">
        <v>134</v>
      </c>
      <c r="J16" s="288" t="s">
        <v>135</v>
      </c>
      <c r="K16" s="288" t="s">
        <v>136</v>
      </c>
      <c r="L16" s="288" t="s">
        <v>137</v>
      </c>
      <c r="M16" s="382" t="s">
        <v>138</v>
      </c>
      <c r="N16" s="205"/>
      <c r="O16" s="205"/>
    </row>
    <row r="39" spans="1:1">
      <c r="A39" s="140" t="s">
        <v>22</v>
      </c>
    </row>
  </sheetData>
  <phoneticPr fontId="16" type="noConversion"/>
  <pageMargins left="0.59055118110236227" right="0.31496062992125984" top="0.51181102362204722" bottom="0.51181102362204722" header="1.1811023622047245" footer="0.31496062992125984"/>
  <pageSetup scale="99" orientation="landscape" useFirstPageNumber="1" r:id="rId1"/>
  <headerFooter alignWithMargins="0">
    <oddHeader xml:space="preserve">&amp;R&amp;P of &amp;N </oddHeader>
    <oddFooter>Страница &amp;P&amp;RProduction Part Approval Process</oddFooter>
  </headerFooter>
  <colBreaks count="1" manualBreakCount="1">
    <brk id="13" max="39" man="1"/>
  </colBreaks>
  <customProperties>
    <customPr name="Ibp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3793" r:id="rId5" name="Option Button 1">
              <controlPr defaultSize="0" autoFill="0" autoLine="0" autoPict="0">
                <anchor moveWithCells="1">
                  <from>
                    <xdr:col>1</xdr:col>
                    <xdr:colOff>390525</xdr:colOff>
                    <xdr:row>2</xdr:row>
                    <xdr:rowOff>66675</xdr:rowOff>
                  </from>
                  <to>
                    <xdr:col>2</xdr:col>
                    <xdr:colOff>238125</xdr:colOff>
                    <xdr:row>3</xdr:row>
                    <xdr:rowOff>133350</xdr:rowOff>
                  </to>
                </anchor>
              </controlPr>
            </control>
          </mc:Choice>
        </mc:AlternateContent>
        <mc:AlternateContent xmlns:mc="http://schemas.openxmlformats.org/markup-compatibility/2006">
          <mc:Choice Requires="x14">
            <control shapeId="33794" r:id="rId6" name="Option Button 2">
              <controlPr defaultSize="0" autoFill="0" autoLine="0" autoPict="0">
                <anchor moveWithCells="1">
                  <from>
                    <xdr:col>2</xdr:col>
                    <xdr:colOff>285750</xdr:colOff>
                    <xdr:row>2</xdr:row>
                    <xdr:rowOff>66675</xdr:rowOff>
                  </from>
                  <to>
                    <xdr:col>3</xdr:col>
                    <xdr:colOff>228600</xdr:colOff>
                    <xdr:row>3</xdr:row>
                    <xdr:rowOff>133350</xdr:rowOff>
                  </to>
                </anchor>
              </controlPr>
            </control>
          </mc:Choice>
        </mc:AlternateContent>
        <mc:AlternateContent xmlns:mc="http://schemas.openxmlformats.org/markup-compatibility/2006">
          <mc:Choice Requires="x14">
            <control shapeId="33795" r:id="rId7" name="Option Button 3">
              <controlPr defaultSize="0" autoFill="0" autoLine="0" autoPict="0">
                <anchor moveWithCells="1">
                  <from>
                    <xdr:col>3</xdr:col>
                    <xdr:colOff>304800</xdr:colOff>
                    <xdr:row>2</xdr:row>
                    <xdr:rowOff>66675</xdr:rowOff>
                  </from>
                  <to>
                    <xdr:col>4</xdr:col>
                    <xdr:colOff>809625</xdr:colOff>
                    <xdr:row>3</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08"/>
  <sheetViews>
    <sheetView showGridLines="0" zoomScaleNormal="100" workbookViewId="0">
      <selection activeCell="E8" sqref="E8"/>
    </sheetView>
  </sheetViews>
  <sheetFormatPr defaultRowHeight="12.75"/>
  <cols>
    <col min="1" max="1" width="7.85546875" style="570" customWidth="1"/>
    <col min="2" max="2" width="8.7109375" style="569" customWidth="1"/>
    <col min="3" max="3" width="9" style="569" customWidth="1"/>
    <col min="4" max="21" width="8.7109375" style="569" customWidth="1"/>
    <col min="22" max="26" width="8.7109375" style="568" customWidth="1"/>
    <col min="27" max="29" width="6" style="568" customWidth="1"/>
    <col min="30" max="30" width="7.28515625" style="568" customWidth="1"/>
    <col min="31" max="73" width="9.140625" style="568"/>
    <col min="74" max="99" width="9.140625" style="567"/>
    <col min="100" max="16384" width="9.140625" style="566"/>
  </cols>
  <sheetData>
    <row r="1" spans="1:49" ht="23.25">
      <c r="A1" s="788"/>
      <c r="B1" s="788"/>
      <c r="C1" s="808"/>
      <c r="D1" s="634"/>
      <c r="E1" s="808"/>
      <c r="F1" s="815"/>
      <c r="G1" s="814" t="s">
        <v>493</v>
      </c>
      <c r="H1" s="814"/>
      <c r="I1" s="814"/>
      <c r="J1" s="814"/>
      <c r="K1" s="814"/>
      <c r="L1" s="814"/>
      <c r="M1" s="814"/>
      <c r="N1" s="814"/>
      <c r="O1" s="813"/>
      <c r="P1" s="813"/>
      <c r="Q1" s="754"/>
      <c r="R1" s="571"/>
      <c r="S1" s="571"/>
      <c r="T1" s="634"/>
      <c r="U1" s="812" t="str">
        <f ca="1">IF(T57="","",IF(AE84=0,"ПРОЦЕСС В НОРМЕ","(СМ. КОММЕНТАРИИ НА СТР.2)"))</f>
        <v>(СМ. КОММЕНТАРИИ НА СТР.2)</v>
      </c>
    </row>
    <row r="2" spans="1:49" ht="12.75" customHeight="1" thickBot="1">
      <c r="A2" s="811"/>
      <c r="B2" s="810"/>
      <c r="C2" s="808"/>
      <c r="D2" s="634"/>
      <c r="E2" s="808"/>
      <c r="F2" s="809"/>
      <c r="G2" s="634"/>
      <c r="H2" s="808"/>
      <c r="I2" s="808"/>
      <c r="J2" s="807"/>
      <c r="K2" s="806"/>
      <c r="L2" s="805"/>
      <c r="M2" s="804"/>
      <c r="N2" s="793"/>
      <c r="O2" s="793"/>
      <c r="P2" s="571"/>
      <c r="Q2" s="754"/>
      <c r="R2" s="571"/>
      <c r="S2" s="571"/>
      <c r="T2" s="754"/>
      <c r="U2" s="634"/>
    </row>
    <row r="3" spans="1:49" ht="24" thickBot="1">
      <c r="A3" s="803"/>
      <c r="B3" s="802"/>
      <c r="C3" s="799"/>
      <c r="D3" s="800"/>
      <c r="E3" s="799"/>
      <c r="F3" s="801"/>
      <c r="G3" s="800"/>
      <c r="H3" s="799"/>
      <c r="I3" s="798"/>
      <c r="J3" s="797"/>
      <c r="K3" s="796"/>
      <c r="L3" s="796"/>
      <c r="M3" s="795" t="s">
        <v>492</v>
      </c>
      <c r="N3" s="794">
        <v>4</v>
      </c>
      <c r="O3" s="793"/>
      <c r="P3" s="754"/>
      <c r="Q3" s="792"/>
      <c r="R3" s="792" t="s">
        <v>491</v>
      </c>
      <c r="S3" s="791"/>
      <c r="T3" s="791"/>
      <c r="U3" s="790"/>
      <c r="AA3" s="789">
        <v>1</v>
      </c>
      <c r="AW3" s="568">
        <f>AA3</f>
        <v>1</v>
      </c>
    </row>
    <row r="4" spans="1:49" ht="14.1" customHeight="1" thickBot="1">
      <c r="A4" s="788"/>
      <c r="B4" s="788"/>
      <c r="C4" s="787"/>
      <c r="D4" s="787"/>
      <c r="E4" s="787"/>
      <c r="F4" s="787"/>
      <c r="G4" s="787"/>
      <c r="H4" s="787"/>
      <c r="I4" s="787"/>
      <c r="J4" s="786"/>
      <c r="K4" s="786"/>
      <c r="L4" s="786"/>
      <c r="M4" s="786"/>
      <c r="N4" s="786"/>
      <c r="O4" s="634"/>
      <c r="P4" s="754"/>
      <c r="Q4" s="785" t="s">
        <v>490</v>
      </c>
      <c r="R4" s="784"/>
      <c r="S4" s="784"/>
      <c r="T4" s="783" t="s">
        <v>489</v>
      </c>
      <c r="U4" s="782" t="s">
        <v>488</v>
      </c>
      <c r="W4" s="568" t="s">
        <v>487</v>
      </c>
      <c r="X4" s="568" t="s">
        <v>486</v>
      </c>
      <c r="Y4" s="568" t="s">
        <v>485</v>
      </c>
      <c r="AF4" s="568" t="s">
        <v>484</v>
      </c>
      <c r="AH4" s="568">
        <f t="shared" ref="AH4:AH14" si="0">AVERAGE(AI4:AJ4)</f>
        <v>848.92499999999995</v>
      </c>
      <c r="AI4" s="568">
        <f>AJ4-AM19</f>
        <v>848.85</v>
      </c>
      <c r="AJ4" s="568">
        <f>AM16</f>
        <v>849</v>
      </c>
      <c r="AK4" s="568">
        <f t="shared" ref="AK4:AK14" ca="1" si="1">COUNTIF($B$83:$AB$87,"&lt;="&amp;INDIRECT(AL4))</f>
        <v>4</v>
      </c>
      <c r="AL4" s="568" t="s">
        <v>483</v>
      </c>
      <c r="AM4" s="568">
        <f ca="1">AK4</f>
        <v>4</v>
      </c>
      <c r="AQ4" s="568">
        <f t="shared" ref="AQ4:AQ14" si="2">AVERAGE(AR4:AS4)</f>
        <v>846</v>
      </c>
      <c r="AR4" s="568">
        <f>AS4-AV19</f>
        <v>845.6</v>
      </c>
      <c r="AS4" s="568">
        <f>AV16</f>
        <v>846.4</v>
      </c>
      <c r="AT4" s="568">
        <f t="shared" ref="AT4:AT14" ca="1" si="3">COUNTIF($B$83:$AB$87,"&lt;="&amp;INDIRECT(AU4))</f>
        <v>0</v>
      </c>
      <c r="AU4" s="568" t="s">
        <v>482</v>
      </c>
      <c r="AV4" s="568">
        <v>0</v>
      </c>
      <c r="AW4" s="568" t="s">
        <v>481</v>
      </c>
    </row>
    <row r="5" spans="1:49" ht="12.75" customHeight="1" thickBot="1">
      <c r="A5" s="694"/>
      <c r="B5" s="693"/>
      <c r="C5" s="719" t="s">
        <v>385</v>
      </c>
      <c r="D5" s="781" t="s">
        <v>480</v>
      </c>
      <c r="E5" s="715"/>
      <c r="F5" s="715"/>
      <c r="G5" s="715"/>
      <c r="H5" s="715"/>
      <c r="I5" s="715"/>
      <c r="J5" s="717" t="s">
        <v>384</v>
      </c>
      <c r="K5" s="780" t="s">
        <v>479</v>
      </c>
      <c r="L5" s="779"/>
      <c r="M5" s="714" t="s">
        <v>383</v>
      </c>
      <c r="N5" s="778">
        <v>43405</v>
      </c>
      <c r="O5" s="777"/>
      <c r="P5" s="754"/>
      <c r="Q5" s="771" t="s">
        <v>478</v>
      </c>
      <c r="R5" s="770" t="s">
        <v>463</v>
      </c>
      <c r="S5" s="770"/>
      <c r="T5" s="769">
        <f>IF(T57="","",AF29)</f>
        <v>3</v>
      </c>
      <c r="U5" s="768">
        <f>IF(T57="","",AF36)</f>
        <v>2</v>
      </c>
      <c r="V5" s="568" t="s">
        <v>311</v>
      </c>
      <c r="W5" s="568" t="s">
        <v>477</v>
      </c>
      <c r="X5" s="568" t="s">
        <v>476</v>
      </c>
      <c r="Y5" s="568" t="s">
        <v>475</v>
      </c>
      <c r="AC5" s="568" t="s">
        <v>474</v>
      </c>
      <c r="AD5" s="568">
        <f>IF(AA3=2,"N/A",(T60-T62)/(3*T74))</f>
        <v>1.6786254809082708</v>
      </c>
      <c r="AH5" s="568">
        <f t="shared" si="0"/>
        <v>849.07500000000005</v>
      </c>
      <c r="AI5" s="568">
        <f t="shared" ref="AI5:AI14" si="4">AJ4</f>
        <v>849</v>
      </c>
      <c r="AJ5" s="568">
        <f t="shared" ref="AJ5:AJ14" si="5">AI5+$AM$19</f>
        <v>849.15</v>
      </c>
      <c r="AK5" s="568">
        <f t="shared" ca="1" si="1"/>
        <v>4</v>
      </c>
      <c r="AL5" s="568" t="s">
        <v>473</v>
      </c>
      <c r="AM5" s="568">
        <f t="shared" ref="AM5:AM14" ca="1" si="6">AK5-AK4</f>
        <v>0</v>
      </c>
      <c r="AQ5" s="568">
        <f t="shared" si="2"/>
        <v>846.8</v>
      </c>
      <c r="AR5" s="568">
        <f t="shared" ref="AR5:AR14" si="7">AS4</f>
        <v>846.4</v>
      </c>
      <c r="AS5" s="568">
        <f t="shared" ref="AS5:AS14" si="8">AR5+$AV$19</f>
        <v>847.19999999999993</v>
      </c>
      <c r="AT5" s="568">
        <f t="shared" ca="1" si="3"/>
        <v>0</v>
      </c>
      <c r="AU5" s="568" t="s">
        <v>472</v>
      </c>
      <c r="AV5" s="568">
        <f t="shared" ref="AV5:AV14" ca="1" si="9">AT5-AT4</f>
        <v>0</v>
      </c>
      <c r="AW5" s="568" t="s">
        <v>471</v>
      </c>
    </row>
    <row r="6" spans="1:49" ht="12.75" customHeight="1">
      <c r="A6" s="687" t="s">
        <v>379</v>
      </c>
      <c r="B6" s="706"/>
      <c r="C6" s="692" t="s">
        <v>378</v>
      </c>
      <c r="D6" s="684"/>
      <c r="E6" s="776" t="s">
        <v>465</v>
      </c>
      <c r="F6" s="682"/>
      <c r="G6" s="682"/>
      <c r="H6" s="705"/>
      <c r="I6" s="683" t="s">
        <v>377</v>
      </c>
      <c r="J6" s="704"/>
      <c r="K6" s="775" t="s">
        <v>470</v>
      </c>
      <c r="L6" s="681"/>
      <c r="M6" s="681"/>
      <c r="N6" s="682"/>
      <c r="O6" s="703"/>
      <c r="P6" s="754"/>
      <c r="Q6" s="753"/>
      <c r="R6" s="765" t="s">
        <v>458</v>
      </c>
      <c r="S6" s="765"/>
      <c r="T6" s="774">
        <f ca="1">IF(T57="","",AF31)</f>
        <v>1</v>
      </c>
      <c r="U6" s="773">
        <f ca="1">IF(T57="","",AF38)</f>
        <v>3</v>
      </c>
      <c r="V6" s="568">
        <v>2</v>
      </c>
      <c r="W6" s="568">
        <v>1.88</v>
      </c>
      <c r="X6" s="568">
        <v>0</v>
      </c>
      <c r="Y6" s="568">
        <v>3.2669999999999999</v>
      </c>
      <c r="AC6" s="568" t="s">
        <v>469</v>
      </c>
      <c r="AD6" s="568">
        <f>IF(AA3=3,"N/A",(T62-T58)/(3*T74))</f>
        <v>1.4085018403024068</v>
      </c>
      <c r="AH6" s="568">
        <f t="shared" si="0"/>
        <v>849.22499999999991</v>
      </c>
      <c r="AI6" s="568">
        <f t="shared" si="4"/>
        <v>849.15</v>
      </c>
      <c r="AJ6" s="568">
        <f t="shared" si="5"/>
        <v>849.3</v>
      </c>
      <c r="AK6" s="568">
        <f t="shared" ca="1" si="1"/>
        <v>4</v>
      </c>
      <c r="AL6" s="568" t="s">
        <v>468</v>
      </c>
      <c r="AM6" s="568">
        <f t="shared" ca="1" si="6"/>
        <v>0</v>
      </c>
      <c r="AQ6" s="568">
        <f t="shared" si="2"/>
        <v>847.59999999999991</v>
      </c>
      <c r="AR6" s="568">
        <f t="shared" si="7"/>
        <v>847.19999999999993</v>
      </c>
      <c r="AS6" s="568">
        <f t="shared" si="8"/>
        <v>847.99999999999989</v>
      </c>
      <c r="AT6" s="568">
        <f t="shared" ca="1" si="3"/>
        <v>0</v>
      </c>
      <c r="AU6" s="568" t="s">
        <v>467</v>
      </c>
      <c r="AV6" s="568">
        <f t="shared" ca="1" si="9"/>
        <v>0</v>
      </c>
      <c r="AW6" s="568" t="s">
        <v>466</v>
      </c>
    </row>
    <row r="7" spans="1:49" ht="12.75" customHeight="1" thickBot="1">
      <c r="A7" s="697"/>
      <c r="B7" s="696"/>
      <c r="C7" s="692" t="s">
        <v>374</v>
      </c>
      <c r="D7" s="684"/>
      <c r="E7" s="772" t="s">
        <v>465</v>
      </c>
      <c r="F7" s="681"/>
      <c r="G7" s="681"/>
      <c r="H7" s="680"/>
      <c r="I7" s="683"/>
      <c r="J7" s="689"/>
      <c r="K7" s="772"/>
      <c r="L7" s="682"/>
      <c r="M7" s="682"/>
      <c r="N7" s="682"/>
      <c r="O7" s="688"/>
      <c r="P7" s="754"/>
      <c r="Q7" s="771" t="s">
        <v>464</v>
      </c>
      <c r="R7" s="770" t="s">
        <v>463</v>
      </c>
      <c r="S7" s="770"/>
      <c r="T7" s="769">
        <f>IF(T57="","",AF30)</f>
        <v>4</v>
      </c>
      <c r="U7" s="768">
        <f>IF(T57="","",AF37)</f>
        <v>3</v>
      </c>
      <c r="V7" s="568">
        <v>3</v>
      </c>
      <c r="W7" s="568">
        <v>1.0229999999999999</v>
      </c>
      <c r="X7" s="568">
        <v>0</v>
      </c>
      <c r="Y7" s="568">
        <v>2.5739999999999998</v>
      </c>
      <c r="AH7" s="568">
        <f t="shared" si="0"/>
        <v>849.375</v>
      </c>
      <c r="AI7" s="568">
        <f t="shared" si="4"/>
        <v>849.3</v>
      </c>
      <c r="AJ7" s="568">
        <f t="shared" si="5"/>
        <v>849.44999999999993</v>
      </c>
      <c r="AK7" s="568">
        <f t="shared" ca="1" si="1"/>
        <v>4</v>
      </c>
      <c r="AL7" s="568" t="s">
        <v>462</v>
      </c>
      <c r="AM7" s="568">
        <f t="shared" ca="1" si="6"/>
        <v>0</v>
      </c>
      <c r="AQ7" s="568">
        <f t="shared" si="2"/>
        <v>848.39999999999986</v>
      </c>
      <c r="AR7" s="568">
        <f t="shared" si="7"/>
        <v>847.99999999999989</v>
      </c>
      <c r="AS7" s="568">
        <f t="shared" si="8"/>
        <v>848.79999999999984</v>
      </c>
      <c r="AT7" s="568">
        <f t="shared" ca="1" si="3"/>
        <v>0</v>
      </c>
      <c r="AU7" s="568" t="s">
        <v>461</v>
      </c>
      <c r="AV7" s="568">
        <f t="shared" ca="1" si="9"/>
        <v>0</v>
      </c>
      <c r="AW7" s="568" t="s">
        <v>460</v>
      </c>
    </row>
    <row r="8" spans="1:49" ht="12.75" customHeight="1" thickBot="1">
      <c r="A8" s="694" t="s">
        <v>372</v>
      </c>
      <c r="B8" s="693"/>
      <c r="C8" s="692" t="s">
        <v>371</v>
      </c>
      <c r="D8" s="684"/>
      <c r="E8" s="767" t="s">
        <v>459</v>
      </c>
      <c r="F8" s="682"/>
      <c r="G8" s="682"/>
      <c r="H8" s="684"/>
      <c r="I8" s="690"/>
      <c r="J8" s="689"/>
      <c r="K8" s="766"/>
      <c r="L8" s="682"/>
      <c r="M8" s="682"/>
      <c r="N8" s="682"/>
      <c r="O8" s="688"/>
      <c r="P8" s="754"/>
      <c r="Q8" s="753"/>
      <c r="R8" s="765" t="s">
        <v>458</v>
      </c>
      <c r="S8" s="765"/>
      <c r="T8" s="764">
        <f ca="1">IF(T57="","",AF32)</f>
        <v>1</v>
      </c>
      <c r="U8" s="763">
        <f ca="1">IF(T57="","",AF39)</f>
        <v>1</v>
      </c>
      <c r="V8" s="568">
        <v>4</v>
      </c>
      <c r="W8" s="568">
        <v>0.72899999999999998</v>
      </c>
      <c r="X8" s="568">
        <v>0</v>
      </c>
      <c r="Y8" s="568">
        <v>2.282</v>
      </c>
      <c r="AH8" s="568">
        <f t="shared" si="0"/>
        <v>849.52499999999986</v>
      </c>
      <c r="AI8" s="568">
        <f t="shared" si="4"/>
        <v>849.44999999999993</v>
      </c>
      <c r="AJ8" s="568">
        <f t="shared" si="5"/>
        <v>849.59999999999991</v>
      </c>
      <c r="AK8" s="568">
        <f t="shared" ca="1" si="1"/>
        <v>16</v>
      </c>
      <c r="AL8" s="568" t="s">
        <v>457</v>
      </c>
      <c r="AM8" s="568">
        <f t="shared" ca="1" si="6"/>
        <v>12</v>
      </c>
      <c r="AQ8" s="568">
        <f t="shared" si="2"/>
        <v>849.19999999999982</v>
      </c>
      <c r="AR8" s="568">
        <f t="shared" si="7"/>
        <v>848.79999999999984</v>
      </c>
      <c r="AS8" s="568">
        <f t="shared" si="8"/>
        <v>849.5999999999998</v>
      </c>
      <c r="AT8" s="568">
        <f t="shared" ca="1" si="3"/>
        <v>16</v>
      </c>
      <c r="AU8" s="568" t="s">
        <v>456</v>
      </c>
      <c r="AV8" s="568">
        <f t="shared" ca="1" si="9"/>
        <v>16</v>
      </c>
    </row>
    <row r="9" spans="1:49" ht="12.75" customHeight="1" thickBot="1">
      <c r="A9" s="687" t="s">
        <v>368</v>
      </c>
      <c r="B9" s="686"/>
      <c r="C9" s="685" t="s">
        <v>367</v>
      </c>
      <c r="D9" s="762"/>
      <c r="E9" s="761" t="s">
        <v>455</v>
      </c>
      <c r="F9" s="760"/>
      <c r="G9" s="760"/>
      <c r="H9" s="759"/>
      <c r="I9" s="759"/>
      <c r="J9" s="758"/>
      <c r="K9" s="679" t="s">
        <v>366</v>
      </c>
      <c r="L9" s="757" t="s">
        <v>454</v>
      </c>
      <c r="M9" s="756"/>
      <c r="N9" s="756"/>
      <c r="O9" s="755"/>
      <c r="P9" s="754"/>
      <c r="Q9" s="753" t="s">
        <v>453</v>
      </c>
      <c r="R9" s="752"/>
      <c r="S9" s="752"/>
      <c r="T9" s="751">
        <f ca="1">IF(T57="","",AF44+AF45)</f>
        <v>3</v>
      </c>
      <c r="U9" s="750">
        <f ca="1">IF(T57="","",AF46+AF47)</f>
        <v>1</v>
      </c>
      <c r="V9" s="568">
        <v>5</v>
      </c>
      <c r="W9" s="568">
        <v>0.57699999999999996</v>
      </c>
      <c r="X9" s="568">
        <v>0</v>
      </c>
      <c r="Y9" s="568">
        <v>2.1139999999999999</v>
      </c>
      <c r="AH9" s="568">
        <f t="shared" si="0"/>
        <v>849.67499999999995</v>
      </c>
      <c r="AI9" s="568">
        <f t="shared" si="4"/>
        <v>849.59999999999991</v>
      </c>
      <c r="AJ9" s="568">
        <f t="shared" si="5"/>
        <v>849.74999999999989</v>
      </c>
      <c r="AK9" s="568">
        <f t="shared" ca="1" si="1"/>
        <v>16</v>
      </c>
      <c r="AL9" s="568" t="s">
        <v>452</v>
      </c>
      <c r="AM9" s="568">
        <f t="shared" ca="1" si="6"/>
        <v>0</v>
      </c>
      <c r="AQ9" s="568">
        <f t="shared" si="2"/>
        <v>849.99999999999977</v>
      </c>
      <c r="AR9" s="568">
        <f t="shared" si="7"/>
        <v>849.5999999999998</v>
      </c>
      <c r="AS9" s="568">
        <f t="shared" si="8"/>
        <v>850.39999999999975</v>
      </c>
      <c r="AT9" s="568">
        <f t="shared" ca="1" si="3"/>
        <v>34</v>
      </c>
      <c r="AU9" s="568" t="s">
        <v>451</v>
      </c>
      <c r="AV9" s="568">
        <f t="shared" ca="1" si="9"/>
        <v>18</v>
      </c>
    </row>
    <row r="10" spans="1:49" ht="12.75" customHeight="1">
      <c r="A10" s="675"/>
      <c r="B10" s="674"/>
      <c r="C10" s="673" t="s">
        <v>362</v>
      </c>
      <c r="D10" s="749">
        <v>850</v>
      </c>
      <c r="E10" s="672"/>
      <c r="F10" s="667"/>
      <c r="G10" s="671" t="s">
        <v>361</v>
      </c>
      <c r="H10" s="670"/>
      <c r="I10" s="749">
        <v>2</v>
      </c>
      <c r="J10" s="668"/>
      <c r="K10" s="667"/>
      <c r="L10" s="666" t="s">
        <v>360</v>
      </c>
      <c r="M10" s="749">
        <v>2</v>
      </c>
      <c r="N10" s="748"/>
      <c r="O10" s="747"/>
      <c r="P10" s="571"/>
      <c r="Q10" s="741" t="s">
        <v>450</v>
      </c>
      <c r="R10" s="746"/>
      <c r="S10" s="746"/>
      <c r="T10" s="745">
        <f>AF59</f>
        <v>3</v>
      </c>
      <c r="U10" s="744">
        <f>AF61</f>
        <v>1</v>
      </c>
      <c r="V10" s="568">
        <v>6</v>
      </c>
      <c r="W10" s="568">
        <v>0.48299999999999998</v>
      </c>
      <c r="X10" s="568">
        <v>0</v>
      </c>
      <c r="Y10" s="568">
        <v>2.004</v>
      </c>
      <c r="AH10" s="568">
        <f t="shared" si="0"/>
        <v>849.82499999999982</v>
      </c>
      <c r="AI10" s="568">
        <f t="shared" si="4"/>
        <v>849.74999999999989</v>
      </c>
      <c r="AJ10" s="568">
        <f t="shared" si="5"/>
        <v>849.89999999999986</v>
      </c>
      <c r="AK10" s="568">
        <f t="shared" ca="1" si="1"/>
        <v>16</v>
      </c>
      <c r="AL10" s="568" t="s">
        <v>449</v>
      </c>
      <c r="AM10" s="568">
        <f t="shared" ca="1" si="6"/>
        <v>0</v>
      </c>
      <c r="AQ10" s="568">
        <f t="shared" si="2"/>
        <v>850.79999999999973</v>
      </c>
      <c r="AR10" s="568">
        <f t="shared" si="7"/>
        <v>850.39999999999975</v>
      </c>
      <c r="AS10" s="568">
        <f t="shared" si="8"/>
        <v>851.1999999999997</v>
      </c>
      <c r="AT10" s="568">
        <f t="shared" ca="1" si="3"/>
        <v>40</v>
      </c>
      <c r="AU10" s="568" t="s">
        <v>448</v>
      </c>
      <c r="AV10" s="568">
        <f t="shared" ca="1" si="9"/>
        <v>6</v>
      </c>
    </row>
    <row r="11" spans="1:49" ht="12.75" customHeight="1" thickBot="1">
      <c r="A11" s="662"/>
      <c r="B11" s="661"/>
      <c r="C11" s="660" t="str">
        <f>IF($AA$3=1,"Нижн. допуск",IF($AA$3=2,"МИН",""))</f>
        <v>Нижн. допуск</v>
      </c>
      <c r="D11" s="743">
        <f>IF(OR($AA$3=1, $AA$3=2),D10-M10,"")</f>
        <v>848</v>
      </c>
      <c r="E11" s="654"/>
      <c r="F11" s="659"/>
      <c r="G11" s="658" t="str">
        <f>IF($AA$3=1,"НОМИНАЛ","")</f>
        <v>НОМИНАЛ</v>
      </c>
      <c r="H11" s="656"/>
      <c r="I11" s="743">
        <f>IF($AA$3=1,D10,"")</f>
        <v>850</v>
      </c>
      <c r="J11" s="654"/>
      <c r="K11" s="657"/>
      <c r="L11" s="656" t="str">
        <f>IF($AA$3=1,"Верх. допуск",IF($AA$3=2,"","МАКС"))</f>
        <v>Верх. допуск</v>
      </c>
      <c r="M11" s="743">
        <f>IF(OR($AA$3=1, $AA$3=3),D10+I10,"")</f>
        <v>852</v>
      </c>
      <c r="N11" s="743"/>
      <c r="O11" s="742"/>
      <c r="P11" s="571"/>
      <c r="Q11" s="741" t="s">
        <v>447</v>
      </c>
      <c r="R11" s="740"/>
      <c r="S11" s="740"/>
      <c r="T11" s="739">
        <f>AF60</f>
        <v>2</v>
      </c>
      <c r="U11" s="738">
        <f>AF62</f>
        <v>4</v>
      </c>
      <c r="V11" s="568">
        <v>7</v>
      </c>
      <c r="W11" s="568">
        <v>0.41899999999999998</v>
      </c>
      <c r="X11" s="568">
        <v>7.5999999999999998E-2</v>
      </c>
      <c r="Y11" s="568">
        <v>1.9239999999999999</v>
      </c>
      <c r="AH11" s="568">
        <f t="shared" si="0"/>
        <v>849.97499999999991</v>
      </c>
      <c r="AI11" s="568">
        <f t="shared" si="4"/>
        <v>849.89999999999986</v>
      </c>
      <c r="AJ11" s="568">
        <f t="shared" si="5"/>
        <v>850.04999999999984</v>
      </c>
      <c r="AK11" s="568">
        <f t="shared" ca="1" si="1"/>
        <v>34</v>
      </c>
      <c r="AL11" s="568" t="s">
        <v>446</v>
      </c>
      <c r="AM11" s="568">
        <f t="shared" ca="1" si="6"/>
        <v>18</v>
      </c>
      <c r="AQ11" s="568">
        <f t="shared" si="2"/>
        <v>851.59999999999968</v>
      </c>
      <c r="AR11" s="568">
        <f t="shared" si="7"/>
        <v>851.1999999999997</v>
      </c>
      <c r="AS11" s="568">
        <f t="shared" si="8"/>
        <v>851.99999999999966</v>
      </c>
      <c r="AT11" s="568">
        <f t="shared" ca="1" si="3"/>
        <v>40</v>
      </c>
      <c r="AU11" s="568" t="s">
        <v>445</v>
      </c>
      <c r="AV11" s="568">
        <f t="shared" ca="1" si="9"/>
        <v>0</v>
      </c>
    </row>
    <row r="12" spans="1:49">
      <c r="A12" s="735"/>
      <c r="B12" s="733"/>
      <c r="C12" s="733"/>
      <c r="D12" s="733"/>
      <c r="E12" s="733"/>
      <c r="F12" s="733"/>
      <c r="G12" s="733"/>
      <c r="H12" s="733"/>
      <c r="I12" s="733"/>
      <c r="J12" s="616"/>
      <c r="K12" s="616"/>
      <c r="L12" s="616"/>
      <c r="M12" s="616"/>
      <c r="N12" s="616"/>
      <c r="O12" s="616"/>
      <c r="P12" s="616"/>
      <c r="Q12" s="616"/>
      <c r="R12" s="616"/>
      <c r="S12" s="737"/>
      <c r="T12" s="736"/>
      <c r="U12" s="571"/>
      <c r="V12" s="568">
        <v>8</v>
      </c>
      <c r="W12" s="568">
        <v>0.373</v>
      </c>
      <c r="X12" s="568">
        <v>0.13600000000000001</v>
      </c>
      <c r="Y12" s="568">
        <v>1.8640000000000001</v>
      </c>
      <c r="AH12" s="568">
        <f t="shared" si="0"/>
        <v>850.12499999999977</v>
      </c>
      <c r="AI12" s="568">
        <f t="shared" si="4"/>
        <v>850.04999999999984</v>
      </c>
      <c r="AJ12" s="568">
        <f t="shared" si="5"/>
        <v>850.19999999999982</v>
      </c>
      <c r="AK12" s="568">
        <f t="shared" ca="1" si="1"/>
        <v>34</v>
      </c>
      <c r="AL12" s="568" t="s">
        <v>444</v>
      </c>
      <c r="AM12" s="568">
        <f t="shared" ca="1" si="6"/>
        <v>0</v>
      </c>
      <c r="AQ12" s="568">
        <f t="shared" si="2"/>
        <v>852.39999999999964</v>
      </c>
      <c r="AR12" s="568">
        <f t="shared" si="7"/>
        <v>851.99999999999966</v>
      </c>
      <c r="AS12" s="568">
        <f t="shared" si="8"/>
        <v>852.79999999999961</v>
      </c>
      <c r="AT12" s="568">
        <f t="shared" ca="1" si="3"/>
        <v>40</v>
      </c>
      <c r="AU12" s="568" t="s">
        <v>443</v>
      </c>
      <c r="AV12" s="568">
        <f t="shared" ca="1" si="9"/>
        <v>0</v>
      </c>
    </row>
    <row r="13" spans="1:49">
      <c r="A13" s="735"/>
      <c r="B13" s="733"/>
      <c r="C13" s="733"/>
      <c r="D13" s="733"/>
      <c r="E13" s="733"/>
      <c r="F13" s="733"/>
      <c r="G13" s="733"/>
      <c r="H13" s="733"/>
      <c r="I13" s="733"/>
      <c r="J13" s="733"/>
      <c r="K13" s="616"/>
      <c r="L13" s="616"/>
      <c r="M13" s="616"/>
      <c r="N13" s="616"/>
      <c r="O13" s="616"/>
      <c r="P13" s="616"/>
      <c r="Q13" s="616"/>
      <c r="R13" s="616"/>
      <c r="S13" s="616"/>
      <c r="T13" s="616"/>
      <c r="U13" s="571"/>
      <c r="V13" s="568">
        <v>9</v>
      </c>
      <c r="W13" s="568">
        <v>0.33700000000000002</v>
      </c>
      <c r="X13" s="568">
        <v>0.184</v>
      </c>
      <c r="Y13" s="568">
        <v>1.8160000000000001</v>
      </c>
      <c r="AH13" s="568">
        <f t="shared" si="0"/>
        <v>850.27499999999986</v>
      </c>
      <c r="AI13" s="568">
        <f t="shared" si="4"/>
        <v>850.19999999999982</v>
      </c>
      <c r="AJ13" s="568">
        <f t="shared" si="5"/>
        <v>850.3499999999998</v>
      </c>
      <c r="AK13" s="568">
        <f t="shared" ca="1" si="1"/>
        <v>34</v>
      </c>
      <c r="AL13" s="568" t="s">
        <v>442</v>
      </c>
      <c r="AM13" s="568">
        <f t="shared" ca="1" si="6"/>
        <v>0</v>
      </c>
      <c r="AQ13" s="568">
        <f t="shared" si="2"/>
        <v>853.19999999999959</v>
      </c>
      <c r="AR13" s="568">
        <f t="shared" si="7"/>
        <v>852.79999999999961</v>
      </c>
      <c r="AS13" s="568">
        <f t="shared" si="8"/>
        <v>853.59999999999957</v>
      </c>
      <c r="AT13" s="568">
        <f t="shared" ca="1" si="3"/>
        <v>40</v>
      </c>
      <c r="AU13" s="568" t="s">
        <v>441</v>
      </c>
      <c r="AV13" s="568">
        <f t="shared" ca="1" si="9"/>
        <v>0</v>
      </c>
    </row>
    <row r="14" spans="1:49">
      <c r="A14" s="734"/>
      <c r="B14" s="733"/>
      <c r="C14" s="733"/>
      <c r="D14" s="733"/>
      <c r="E14" s="733"/>
      <c r="F14" s="733"/>
      <c r="G14" s="733"/>
      <c r="H14" s="733"/>
      <c r="I14" s="733"/>
      <c r="J14" s="733"/>
      <c r="K14" s="616"/>
      <c r="L14" s="616"/>
      <c r="M14" s="616"/>
      <c r="N14" s="616"/>
      <c r="O14" s="616"/>
      <c r="P14" s="616"/>
      <c r="Q14" s="616"/>
      <c r="R14" s="616"/>
      <c r="S14" s="616"/>
      <c r="T14" s="616"/>
      <c r="U14" s="571"/>
      <c r="V14" s="568">
        <v>10</v>
      </c>
      <c r="W14" s="568">
        <v>0.308</v>
      </c>
      <c r="X14" s="568">
        <v>0.223</v>
      </c>
      <c r="Y14" s="568">
        <v>1.7769999999999999</v>
      </c>
      <c r="AH14" s="568">
        <f t="shared" si="0"/>
        <v>850.42499999999973</v>
      </c>
      <c r="AI14" s="568">
        <f t="shared" si="4"/>
        <v>850.3499999999998</v>
      </c>
      <c r="AJ14" s="568">
        <f t="shared" si="5"/>
        <v>850.49999999999977</v>
      </c>
      <c r="AK14" s="568">
        <f t="shared" ca="1" si="1"/>
        <v>40</v>
      </c>
      <c r="AL14" s="568" t="s">
        <v>440</v>
      </c>
      <c r="AM14" s="568">
        <f t="shared" ca="1" si="6"/>
        <v>6</v>
      </c>
      <c r="AQ14" s="568">
        <f t="shared" si="2"/>
        <v>853.99999999999955</v>
      </c>
      <c r="AR14" s="568">
        <f t="shared" si="7"/>
        <v>853.59999999999957</v>
      </c>
      <c r="AS14" s="568">
        <f t="shared" si="8"/>
        <v>854.39999999999952</v>
      </c>
      <c r="AT14" s="568">
        <f t="shared" ca="1" si="3"/>
        <v>40</v>
      </c>
      <c r="AU14" s="568" t="s">
        <v>439</v>
      </c>
      <c r="AV14" s="568">
        <f t="shared" ca="1" si="9"/>
        <v>0</v>
      </c>
    </row>
    <row r="15" spans="1:49">
      <c r="A15" s="726"/>
      <c r="B15" s="616"/>
      <c r="C15" s="616"/>
      <c r="D15" s="616"/>
      <c r="E15" s="616"/>
      <c r="F15" s="616"/>
      <c r="G15" s="616"/>
      <c r="H15" s="616"/>
      <c r="I15" s="616"/>
      <c r="J15" s="616"/>
      <c r="K15" s="616"/>
      <c r="L15" s="616"/>
      <c r="M15" s="616"/>
      <c r="N15" s="616"/>
      <c r="O15" s="616"/>
      <c r="P15" s="616"/>
      <c r="Q15" s="616"/>
      <c r="R15" s="616"/>
      <c r="S15" s="616"/>
      <c r="T15" s="616"/>
      <c r="U15" s="571"/>
      <c r="AM15" s="568">
        <f ca="1">SUM(AM4:AM13)</f>
        <v>34</v>
      </c>
      <c r="AV15" s="568">
        <f ca="1">SUM(AV4:AV13)</f>
        <v>40</v>
      </c>
    </row>
    <row r="16" spans="1:49">
      <c r="A16" s="726"/>
      <c r="B16" s="616"/>
      <c r="C16" s="616"/>
      <c r="D16" s="616"/>
      <c r="E16" s="616"/>
      <c r="F16" s="616"/>
      <c r="G16" s="616"/>
      <c r="H16" s="616"/>
      <c r="I16" s="616"/>
      <c r="J16" s="616"/>
      <c r="K16" s="616"/>
      <c r="L16" s="616"/>
      <c r="M16" s="616"/>
      <c r="N16" s="616"/>
      <c r="O16" s="616"/>
      <c r="P16" s="616"/>
      <c r="Q16" s="616"/>
      <c r="R16" s="616"/>
      <c r="S16" s="616"/>
      <c r="T16" s="616"/>
      <c r="U16" s="571"/>
      <c r="V16" s="568" t="s">
        <v>438</v>
      </c>
      <c r="W16" s="568">
        <f>IF($N$3=2,1.88,IF($N$3=3,1.023,IF($N$3=4,0.729,IF($N$3=5,0.577,""))))</f>
        <v>0.72899999999999998</v>
      </c>
      <c r="X16" s="568">
        <f>IF($N$3&lt;6,0,"")</f>
        <v>0</v>
      </c>
      <c r="Y16" s="568">
        <f>IF($N$3=2,3.267,IF($N$3=3,2.574,IF($N$3=4,2.282,IF($N$3=5,2.114,""))))</f>
        <v>2.282</v>
      </c>
      <c r="AF16" s="568" t="s">
        <v>423</v>
      </c>
      <c r="AG16" s="568">
        <f>IF(T57="","",AVERAGE(B93:AB93))</f>
        <v>849.82500000000005</v>
      </c>
      <c r="AI16" s="568" t="s">
        <v>424</v>
      </c>
      <c r="AJ16" s="568">
        <f>IF($T$57="","",$AG$16+W18*$AG$18)</f>
        <v>850.22595000000001</v>
      </c>
      <c r="AL16" s="568" t="s">
        <v>433</v>
      </c>
      <c r="AM16" s="568">
        <f>MIN($B$83:$AB$87)</f>
        <v>849</v>
      </c>
      <c r="AN16" s="568">
        <f>MIN(C56:AA60)</f>
        <v>0</v>
      </c>
      <c r="AQ16" s="568" t="s">
        <v>437</v>
      </c>
      <c r="AR16" s="568" t="s">
        <v>436</v>
      </c>
      <c r="AS16" s="568" t="s">
        <v>435</v>
      </c>
      <c r="AT16" s="568" t="s">
        <v>434</v>
      </c>
      <c r="AU16" s="568" t="s">
        <v>433</v>
      </c>
      <c r="AV16" s="568">
        <f>IF($AA$3=0,0,AS17)</f>
        <v>846.4</v>
      </c>
    </row>
    <row r="17" spans="1:99">
      <c r="A17" s="726"/>
      <c r="B17" s="616"/>
      <c r="C17" s="616"/>
      <c r="D17" s="616"/>
      <c r="E17" s="616"/>
      <c r="F17" s="616"/>
      <c r="G17" s="616"/>
      <c r="H17" s="616"/>
      <c r="I17" s="616"/>
      <c r="J17" s="616"/>
      <c r="K17" s="616"/>
      <c r="L17" s="616"/>
      <c r="M17" s="616"/>
      <c r="N17" s="616"/>
      <c r="O17" s="616"/>
      <c r="P17" s="616"/>
      <c r="Q17" s="616"/>
      <c r="R17" s="616"/>
      <c r="S17" s="616"/>
      <c r="T17" s="616"/>
      <c r="U17" s="571"/>
      <c r="V17" s="568" t="s">
        <v>432</v>
      </c>
      <c r="W17" s="568" t="str">
        <f>IF($N$3=6,0.483,IF($N$3=7,0.419,IF($N$3=8,0.373,IF($N$3=9,0.337,IF($N$3=10,0.308,"")))))</f>
        <v/>
      </c>
      <c r="X17" s="568" t="str">
        <f>IF($N$3=6,0,IF($N$3=7,0.076,IF($N$3=8,0.136,IF($N$3=9,0.184,IF($N$3=10,0.223,"")))))</f>
        <v/>
      </c>
      <c r="Y17" s="568" t="str">
        <f>IF($N$3=6,2.004,IF($N$3=7,1.924,IF($N$3=8,1.864,IF($N$3=9,1.816,IF($N$3=10,1.777,"")))))</f>
        <v/>
      </c>
      <c r="AI17" s="568" t="s">
        <v>422</v>
      </c>
      <c r="AJ17" s="568">
        <f>IF($T$57="","",$AG$16-W18*$AG$18)</f>
        <v>849.42405000000008</v>
      </c>
      <c r="AL17" s="568" t="s">
        <v>431</v>
      </c>
      <c r="AM17" s="568">
        <f>MAX($B$83:$AB$87)</f>
        <v>850.5</v>
      </c>
      <c r="AN17" s="568">
        <f>MAX(C56:AA60)</f>
        <v>43405</v>
      </c>
      <c r="AQ17" s="568">
        <f>IF(AA3=3,AM16*0.98,T58)</f>
        <v>848</v>
      </c>
      <c r="AR17" s="568">
        <f>IF(AA3=2,AM17*1.02,T60)</f>
        <v>852</v>
      </c>
      <c r="AS17" s="568">
        <f>AQ17-(2*(AR17-AQ17)/5)</f>
        <v>846.4</v>
      </c>
      <c r="AT17" s="568">
        <f>AR17+(2*(AR17-AQ17)/5)</f>
        <v>853.6</v>
      </c>
      <c r="AU17" s="568" t="s">
        <v>431</v>
      </c>
      <c r="AV17" s="568">
        <f>IF($AA$3=0,0,AT17)</f>
        <v>853.6</v>
      </c>
    </row>
    <row r="18" spans="1:99">
      <c r="A18" s="726"/>
      <c r="B18" s="616"/>
      <c r="C18" s="616"/>
      <c r="D18" s="616"/>
      <c r="E18" s="616"/>
      <c r="F18" s="616"/>
      <c r="G18" s="616"/>
      <c r="H18" s="616"/>
      <c r="I18" s="616"/>
      <c r="J18" s="616"/>
      <c r="K18" s="616"/>
      <c r="L18" s="616"/>
      <c r="M18" s="616"/>
      <c r="N18" s="616"/>
      <c r="O18" s="616"/>
      <c r="P18" s="616"/>
      <c r="Q18" s="616"/>
      <c r="R18" s="616"/>
      <c r="S18" s="616"/>
      <c r="T18" s="616"/>
      <c r="U18" s="571"/>
      <c r="V18" s="568" t="s">
        <v>430</v>
      </c>
      <c r="W18" s="568">
        <f>IF($N$3&lt;6,W16,W17)</f>
        <v>0.72899999999999998</v>
      </c>
      <c r="X18" s="568">
        <f>IF($N$3&lt;6,X16,X17)</f>
        <v>0</v>
      </c>
      <c r="Y18" s="568">
        <f>IF($N$3&lt;6,Y16,Y17)</f>
        <v>2.282</v>
      </c>
      <c r="AE18" s="568" t="s">
        <v>429</v>
      </c>
      <c r="AF18" s="568" t="s">
        <v>420</v>
      </c>
      <c r="AG18" s="568">
        <f>IF(T57="","",AVERAGE(B94:AB94))</f>
        <v>0.55000000000000004</v>
      </c>
      <c r="AI18" s="568" t="s">
        <v>421</v>
      </c>
      <c r="AJ18" s="568">
        <f>IF($T$57="","",Y18*$AG$18)</f>
        <v>1.2551000000000001</v>
      </c>
      <c r="AL18" s="568" t="s">
        <v>428</v>
      </c>
      <c r="AM18" s="568">
        <f>AM17-AM16</f>
        <v>1.5</v>
      </c>
      <c r="AU18" s="568" t="s">
        <v>428</v>
      </c>
      <c r="AV18" s="568">
        <f>AV17-AV16</f>
        <v>7.2000000000000455</v>
      </c>
    </row>
    <row r="19" spans="1:99">
      <c r="A19" s="726"/>
      <c r="B19" s="616"/>
      <c r="C19" s="616"/>
      <c r="D19" s="616"/>
      <c r="E19" s="616"/>
      <c r="F19" s="616"/>
      <c r="G19" s="616"/>
      <c r="H19" s="616"/>
      <c r="I19" s="616"/>
      <c r="J19" s="616"/>
      <c r="K19" s="616"/>
      <c r="L19" s="616"/>
      <c r="M19" s="616"/>
      <c r="N19" s="616"/>
      <c r="O19" s="616"/>
      <c r="P19" s="616"/>
      <c r="Q19" s="616"/>
      <c r="R19" s="616"/>
      <c r="S19" s="616"/>
      <c r="T19" s="616"/>
      <c r="U19" s="571"/>
      <c r="AE19" s="568" t="s">
        <v>427</v>
      </c>
      <c r="AF19" s="568" t="s">
        <v>426</v>
      </c>
      <c r="AI19" s="568" t="s">
        <v>419</v>
      </c>
      <c r="AJ19" s="568">
        <f>IF($T$57="","",X18*$AG$18)</f>
        <v>0</v>
      </c>
      <c r="AL19" s="568" t="s">
        <v>425</v>
      </c>
      <c r="AM19" s="568">
        <f>AM18/10</f>
        <v>0.15</v>
      </c>
      <c r="AU19" s="568" t="s">
        <v>425</v>
      </c>
      <c r="AV19" s="568">
        <f>AV18/9</f>
        <v>0.80000000000000504</v>
      </c>
    </row>
    <row r="20" spans="1:99" ht="12.75" customHeight="1">
      <c r="A20" s="726"/>
      <c r="B20" s="616"/>
      <c r="C20" s="616"/>
      <c r="D20" s="616"/>
      <c r="E20" s="616"/>
      <c r="F20" s="616"/>
      <c r="G20" s="616"/>
      <c r="H20" s="616"/>
      <c r="I20" s="616"/>
      <c r="J20" s="616"/>
      <c r="K20" s="616"/>
      <c r="L20" s="616"/>
      <c r="M20" s="616"/>
      <c r="N20" s="616"/>
      <c r="O20" s="616"/>
      <c r="P20" s="616"/>
      <c r="Q20" s="616"/>
      <c r="R20" s="616"/>
      <c r="S20" s="616"/>
      <c r="T20" s="616"/>
      <c r="U20" s="571"/>
      <c r="AE20" s="568" t="s">
        <v>424</v>
      </c>
      <c r="AF20" s="568">
        <f t="shared" ref="AF20:BD20" si="10">$AJ$16</f>
        <v>850.22595000000001</v>
      </c>
      <c r="AG20" s="568">
        <f t="shared" si="10"/>
        <v>850.22595000000001</v>
      </c>
      <c r="AH20" s="568">
        <f t="shared" si="10"/>
        <v>850.22595000000001</v>
      </c>
      <c r="AI20" s="568">
        <f t="shared" si="10"/>
        <v>850.22595000000001</v>
      </c>
      <c r="AJ20" s="568">
        <f t="shared" si="10"/>
        <v>850.22595000000001</v>
      </c>
      <c r="AK20" s="568">
        <f t="shared" si="10"/>
        <v>850.22595000000001</v>
      </c>
      <c r="AL20" s="568">
        <f t="shared" si="10"/>
        <v>850.22595000000001</v>
      </c>
      <c r="AM20" s="568">
        <f t="shared" si="10"/>
        <v>850.22595000000001</v>
      </c>
      <c r="AN20" s="568">
        <f t="shared" si="10"/>
        <v>850.22595000000001</v>
      </c>
      <c r="AO20" s="568">
        <f t="shared" si="10"/>
        <v>850.22595000000001</v>
      </c>
      <c r="AP20" s="568">
        <f t="shared" si="10"/>
        <v>850.22595000000001</v>
      </c>
      <c r="AQ20" s="568">
        <f t="shared" si="10"/>
        <v>850.22595000000001</v>
      </c>
      <c r="AR20" s="568">
        <f t="shared" si="10"/>
        <v>850.22595000000001</v>
      </c>
      <c r="AS20" s="568">
        <f t="shared" si="10"/>
        <v>850.22595000000001</v>
      </c>
      <c r="AT20" s="568">
        <f t="shared" si="10"/>
        <v>850.22595000000001</v>
      </c>
      <c r="AU20" s="568">
        <f t="shared" si="10"/>
        <v>850.22595000000001</v>
      </c>
      <c r="AV20" s="568">
        <f t="shared" si="10"/>
        <v>850.22595000000001</v>
      </c>
      <c r="AW20" s="568">
        <f t="shared" si="10"/>
        <v>850.22595000000001</v>
      </c>
      <c r="AX20" s="568">
        <f t="shared" si="10"/>
        <v>850.22595000000001</v>
      </c>
      <c r="AY20" s="568">
        <f t="shared" si="10"/>
        <v>850.22595000000001</v>
      </c>
      <c r="AZ20" s="568">
        <f t="shared" si="10"/>
        <v>850.22595000000001</v>
      </c>
      <c r="BA20" s="568">
        <f t="shared" si="10"/>
        <v>850.22595000000001</v>
      </c>
      <c r="BB20" s="568">
        <f t="shared" si="10"/>
        <v>850.22595000000001</v>
      </c>
      <c r="BC20" s="568">
        <f t="shared" si="10"/>
        <v>850.22595000000001</v>
      </c>
      <c r="BD20" s="568">
        <f t="shared" si="10"/>
        <v>850.22595000000001</v>
      </c>
    </row>
    <row r="21" spans="1:99" ht="12.75" customHeight="1">
      <c r="A21" s="726"/>
      <c r="B21" s="616"/>
      <c r="C21" s="616"/>
      <c r="D21" s="616"/>
      <c r="E21" s="616"/>
      <c r="F21" s="616"/>
      <c r="G21" s="616"/>
      <c r="H21" s="616"/>
      <c r="I21" s="616"/>
      <c r="J21" s="616"/>
      <c r="K21" s="616"/>
      <c r="L21" s="616"/>
      <c r="M21" s="616"/>
      <c r="N21" s="616"/>
      <c r="O21" s="616"/>
      <c r="P21" s="616"/>
      <c r="Q21" s="616"/>
      <c r="R21" s="616"/>
      <c r="S21" s="616"/>
      <c r="T21" s="616"/>
      <c r="U21" s="571"/>
      <c r="AE21" s="568" t="s">
        <v>423</v>
      </c>
      <c r="AF21" s="568">
        <f t="shared" ref="AF21:BD21" si="11">$AG$16</f>
        <v>849.82500000000005</v>
      </c>
      <c r="AG21" s="568">
        <f t="shared" si="11"/>
        <v>849.82500000000005</v>
      </c>
      <c r="AH21" s="568">
        <f t="shared" si="11"/>
        <v>849.82500000000005</v>
      </c>
      <c r="AI21" s="568">
        <f t="shared" si="11"/>
        <v>849.82500000000005</v>
      </c>
      <c r="AJ21" s="568">
        <f t="shared" si="11"/>
        <v>849.82500000000005</v>
      </c>
      <c r="AK21" s="568">
        <f t="shared" si="11"/>
        <v>849.82500000000005</v>
      </c>
      <c r="AL21" s="568">
        <f t="shared" si="11"/>
        <v>849.82500000000005</v>
      </c>
      <c r="AM21" s="568">
        <f t="shared" si="11"/>
        <v>849.82500000000005</v>
      </c>
      <c r="AN21" s="568">
        <f t="shared" si="11"/>
        <v>849.82500000000005</v>
      </c>
      <c r="AO21" s="568">
        <f t="shared" si="11"/>
        <v>849.82500000000005</v>
      </c>
      <c r="AP21" s="568">
        <f t="shared" si="11"/>
        <v>849.82500000000005</v>
      </c>
      <c r="AQ21" s="568">
        <f t="shared" si="11"/>
        <v>849.82500000000005</v>
      </c>
      <c r="AR21" s="568">
        <f t="shared" si="11"/>
        <v>849.82500000000005</v>
      </c>
      <c r="AS21" s="568">
        <f t="shared" si="11"/>
        <v>849.82500000000005</v>
      </c>
      <c r="AT21" s="568">
        <f t="shared" si="11"/>
        <v>849.82500000000005</v>
      </c>
      <c r="AU21" s="568">
        <f t="shared" si="11"/>
        <v>849.82500000000005</v>
      </c>
      <c r="AV21" s="568">
        <f t="shared" si="11"/>
        <v>849.82500000000005</v>
      </c>
      <c r="AW21" s="568">
        <f t="shared" si="11"/>
        <v>849.82500000000005</v>
      </c>
      <c r="AX21" s="568">
        <f t="shared" si="11"/>
        <v>849.82500000000005</v>
      </c>
      <c r="AY21" s="568">
        <f t="shared" si="11"/>
        <v>849.82500000000005</v>
      </c>
      <c r="AZ21" s="568">
        <f t="shared" si="11"/>
        <v>849.82500000000005</v>
      </c>
      <c r="BA21" s="568">
        <f t="shared" si="11"/>
        <v>849.82500000000005</v>
      </c>
      <c r="BB21" s="568">
        <f t="shared" si="11"/>
        <v>849.82500000000005</v>
      </c>
      <c r="BC21" s="568">
        <f t="shared" si="11"/>
        <v>849.82500000000005</v>
      </c>
      <c r="BD21" s="568">
        <f t="shared" si="11"/>
        <v>849.82500000000005</v>
      </c>
    </row>
    <row r="22" spans="1:99" ht="12.75" customHeight="1">
      <c r="A22" s="726"/>
      <c r="B22" s="616"/>
      <c r="C22" s="616"/>
      <c r="D22" s="616"/>
      <c r="E22" s="616"/>
      <c r="F22" s="616"/>
      <c r="G22" s="616"/>
      <c r="H22" s="616"/>
      <c r="I22" s="616"/>
      <c r="J22" s="616"/>
      <c r="K22" s="616"/>
      <c r="L22" s="616"/>
      <c r="M22" s="616"/>
      <c r="N22" s="616"/>
      <c r="O22" s="616"/>
      <c r="P22" s="616"/>
      <c r="Q22" s="616"/>
      <c r="R22" s="616"/>
      <c r="S22" s="616"/>
      <c r="T22" s="616"/>
      <c r="U22" s="571"/>
      <c r="AE22" s="568" t="s">
        <v>422</v>
      </c>
      <c r="AF22" s="568">
        <f t="shared" ref="AF22:BD22" si="12">$AJ$17</f>
        <v>849.42405000000008</v>
      </c>
      <c r="AG22" s="568">
        <f t="shared" si="12"/>
        <v>849.42405000000008</v>
      </c>
      <c r="AH22" s="568">
        <f t="shared" si="12"/>
        <v>849.42405000000008</v>
      </c>
      <c r="AI22" s="568">
        <f t="shared" si="12"/>
        <v>849.42405000000008</v>
      </c>
      <c r="AJ22" s="568">
        <f t="shared" si="12"/>
        <v>849.42405000000008</v>
      </c>
      <c r="AK22" s="568">
        <f t="shared" si="12"/>
        <v>849.42405000000008</v>
      </c>
      <c r="AL22" s="568">
        <f t="shared" si="12"/>
        <v>849.42405000000008</v>
      </c>
      <c r="AM22" s="568">
        <f t="shared" si="12"/>
        <v>849.42405000000008</v>
      </c>
      <c r="AN22" s="568">
        <f t="shared" si="12"/>
        <v>849.42405000000008</v>
      </c>
      <c r="AO22" s="568">
        <f t="shared" si="12"/>
        <v>849.42405000000008</v>
      </c>
      <c r="AP22" s="568">
        <f t="shared" si="12"/>
        <v>849.42405000000008</v>
      </c>
      <c r="AQ22" s="568">
        <f t="shared" si="12"/>
        <v>849.42405000000008</v>
      </c>
      <c r="AR22" s="568">
        <f t="shared" si="12"/>
        <v>849.42405000000008</v>
      </c>
      <c r="AS22" s="568">
        <f t="shared" si="12"/>
        <v>849.42405000000008</v>
      </c>
      <c r="AT22" s="568">
        <f t="shared" si="12"/>
        <v>849.42405000000008</v>
      </c>
      <c r="AU22" s="568">
        <f t="shared" si="12"/>
        <v>849.42405000000008</v>
      </c>
      <c r="AV22" s="568">
        <f t="shared" si="12"/>
        <v>849.42405000000008</v>
      </c>
      <c r="AW22" s="568">
        <f t="shared" si="12"/>
        <v>849.42405000000008</v>
      </c>
      <c r="AX22" s="568">
        <f t="shared" si="12"/>
        <v>849.42405000000008</v>
      </c>
      <c r="AY22" s="568">
        <f t="shared" si="12"/>
        <v>849.42405000000008</v>
      </c>
      <c r="AZ22" s="568">
        <f t="shared" si="12"/>
        <v>849.42405000000008</v>
      </c>
      <c r="BA22" s="568">
        <f t="shared" si="12"/>
        <v>849.42405000000008</v>
      </c>
      <c r="BB22" s="568">
        <f t="shared" si="12"/>
        <v>849.42405000000008</v>
      </c>
      <c r="BC22" s="568">
        <f t="shared" si="12"/>
        <v>849.42405000000008</v>
      </c>
      <c r="BD22" s="568">
        <f t="shared" si="12"/>
        <v>849.42405000000008</v>
      </c>
    </row>
    <row r="23" spans="1:99" ht="12.75" customHeight="1">
      <c r="A23" s="726"/>
      <c r="B23" s="616"/>
      <c r="C23" s="616"/>
      <c r="D23" s="616"/>
      <c r="E23" s="616"/>
      <c r="F23" s="616"/>
      <c r="G23" s="616"/>
      <c r="H23" s="616"/>
      <c r="I23" s="616"/>
      <c r="J23" s="616"/>
      <c r="K23" s="616"/>
      <c r="L23" s="616"/>
      <c r="M23" s="616"/>
      <c r="N23" s="616"/>
      <c r="O23" s="616"/>
      <c r="P23" s="616"/>
      <c r="Q23" s="616"/>
      <c r="R23" s="616"/>
      <c r="S23" s="616"/>
      <c r="T23" s="616"/>
      <c r="U23" s="571"/>
      <c r="AE23" s="568" t="s">
        <v>421</v>
      </c>
      <c r="AF23" s="568">
        <f t="shared" ref="AF23:BD23" si="13">$AJ$18</f>
        <v>1.2551000000000001</v>
      </c>
      <c r="AG23" s="568">
        <f t="shared" si="13"/>
        <v>1.2551000000000001</v>
      </c>
      <c r="AH23" s="568">
        <f t="shared" si="13"/>
        <v>1.2551000000000001</v>
      </c>
      <c r="AI23" s="568">
        <f t="shared" si="13"/>
        <v>1.2551000000000001</v>
      </c>
      <c r="AJ23" s="568">
        <f t="shared" si="13"/>
        <v>1.2551000000000001</v>
      </c>
      <c r="AK23" s="568">
        <f t="shared" si="13"/>
        <v>1.2551000000000001</v>
      </c>
      <c r="AL23" s="568">
        <f t="shared" si="13"/>
        <v>1.2551000000000001</v>
      </c>
      <c r="AM23" s="568">
        <f t="shared" si="13"/>
        <v>1.2551000000000001</v>
      </c>
      <c r="AN23" s="568">
        <f t="shared" si="13"/>
        <v>1.2551000000000001</v>
      </c>
      <c r="AO23" s="568">
        <f t="shared" si="13"/>
        <v>1.2551000000000001</v>
      </c>
      <c r="AP23" s="568">
        <f t="shared" si="13"/>
        <v>1.2551000000000001</v>
      </c>
      <c r="AQ23" s="568">
        <f t="shared" si="13"/>
        <v>1.2551000000000001</v>
      </c>
      <c r="AR23" s="568">
        <f t="shared" si="13"/>
        <v>1.2551000000000001</v>
      </c>
      <c r="AS23" s="568">
        <f t="shared" si="13"/>
        <v>1.2551000000000001</v>
      </c>
      <c r="AT23" s="568">
        <f t="shared" si="13"/>
        <v>1.2551000000000001</v>
      </c>
      <c r="AU23" s="568">
        <f t="shared" si="13"/>
        <v>1.2551000000000001</v>
      </c>
      <c r="AV23" s="568">
        <f t="shared" si="13"/>
        <v>1.2551000000000001</v>
      </c>
      <c r="AW23" s="568">
        <f t="shared" si="13"/>
        <v>1.2551000000000001</v>
      </c>
      <c r="AX23" s="568">
        <f t="shared" si="13"/>
        <v>1.2551000000000001</v>
      </c>
      <c r="AY23" s="568">
        <f t="shared" si="13"/>
        <v>1.2551000000000001</v>
      </c>
      <c r="AZ23" s="568">
        <f t="shared" si="13"/>
        <v>1.2551000000000001</v>
      </c>
      <c r="BA23" s="568">
        <f t="shared" si="13"/>
        <v>1.2551000000000001</v>
      </c>
      <c r="BB23" s="568">
        <f t="shared" si="13"/>
        <v>1.2551000000000001</v>
      </c>
      <c r="BC23" s="568">
        <f t="shared" si="13"/>
        <v>1.2551000000000001</v>
      </c>
      <c r="BD23" s="568">
        <f t="shared" si="13"/>
        <v>1.2551000000000001</v>
      </c>
    </row>
    <row r="24" spans="1:99" ht="12.75" customHeight="1">
      <c r="A24" s="726"/>
      <c r="B24" s="616"/>
      <c r="C24" s="616"/>
      <c r="D24" s="616"/>
      <c r="E24" s="616"/>
      <c r="F24" s="616"/>
      <c r="G24" s="616"/>
      <c r="H24" s="616"/>
      <c r="I24" s="616"/>
      <c r="J24" s="616"/>
      <c r="K24" s="616"/>
      <c r="L24" s="616"/>
      <c r="M24" s="616"/>
      <c r="N24" s="616"/>
      <c r="O24" s="616"/>
      <c r="P24" s="616"/>
      <c r="Q24" s="616"/>
      <c r="R24" s="616"/>
      <c r="S24" s="616"/>
      <c r="T24" s="616"/>
      <c r="U24" s="571"/>
      <c r="AE24" s="568" t="s">
        <v>420</v>
      </c>
      <c r="AF24" s="568">
        <f>IF(SUM(B83:B87)=0,"",$AG$18)</f>
        <v>0.55000000000000004</v>
      </c>
      <c r="AG24" s="568">
        <f t="shared" ref="AG24:BD24" si="14">$AG$18</f>
        <v>0.55000000000000004</v>
      </c>
      <c r="AH24" s="568">
        <f t="shared" si="14"/>
        <v>0.55000000000000004</v>
      </c>
      <c r="AI24" s="568">
        <f t="shared" si="14"/>
        <v>0.55000000000000004</v>
      </c>
      <c r="AJ24" s="568">
        <f t="shared" si="14"/>
        <v>0.55000000000000004</v>
      </c>
      <c r="AK24" s="568">
        <f t="shared" si="14"/>
        <v>0.55000000000000004</v>
      </c>
      <c r="AL24" s="568">
        <f t="shared" si="14"/>
        <v>0.55000000000000004</v>
      </c>
      <c r="AM24" s="568">
        <f t="shared" si="14"/>
        <v>0.55000000000000004</v>
      </c>
      <c r="AN24" s="568">
        <f t="shared" si="14"/>
        <v>0.55000000000000004</v>
      </c>
      <c r="AO24" s="568">
        <f t="shared" si="14"/>
        <v>0.55000000000000004</v>
      </c>
      <c r="AP24" s="568">
        <f t="shared" si="14"/>
        <v>0.55000000000000004</v>
      </c>
      <c r="AQ24" s="568">
        <f t="shared" si="14"/>
        <v>0.55000000000000004</v>
      </c>
      <c r="AR24" s="568">
        <f t="shared" si="14"/>
        <v>0.55000000000000004</v>
      </c>
      <c r="AS24" s="568">
        <f t="shared" si="14"/>
        <v>0.55000000000000004</v>
      </c>
      <c r="AT24" s="568">
        <f t="shared" si="14"/>
        <v>0.55000000000000004</v>
      </c>
      <c r="AU24" s="568">
        <f t="shared" si="14"/>
        <v>0.55000000000000004</v>
      </c>
      <c r="AV24" s="568">
        <f t="shared" si="14"/>
        <v>0.55000000000000004</v>
      </c>
      <c r="AW24" s="568">
        <f t="shared" si="14"/>
        <v>0.55000000000000004</v>
      </c>
      <c r="AX24" s="568">
        <f t="shared" si="14"/>
        <v>0.55000000000000004</v>
      </c>
      <c r="AY24" s="568">
        <f t="shared" si="14"/>
        <v>0.55000000000000004</v>
      </c>
      <c r="AZ24" s="568">
        <f t="shared" si="14"/>
        <v>0.55000000000000004</v>
      </c>
      <c r="BA24" s="568">
        <f t="shared" si="14"/>
        <v>0.55000000000000004</v>
      </c>
      <c r="BB24" s="568">
        <f t="shared" si="14"/>
        <v>0.55000000000000004</v>
      </c>
      <c r="BC24" s="568">
        <f t="shared" si="14"/>
        <v>0.55000000000000004</v>
      </c>
      <c r="BD24" s="568">
        <f t="shared" si="14"/>
        <v>0.55000000000000004</v>
      </c>
    </row>
    <row r="25" spans="1:99" s="730" customFormat="1" ht="12.75" customHeight="1">
      <c r="A25" s="732"/>
      <c r="B25" s="631"/>
      <c r="C25" s="631"/>
      <c r="D25" s="631"/>
      <c r="E25" s="631"/>
      <c r="F25" s="631"/>
      <c r="G25" s="631"/>
      <c r="H25" s="631"/>
      <c r="I25" s="631"/>
      <c r="J25" s="631"/>
      <c r="K25" s="631"/>
      <c r="L25" s="631"/>
      <c r="M25" s="631"/>
      <c r="N25" s="631"/>
      <c r="O25" s="631"/>
      <c r="P25" s="631"/>
      <c r="Q25" s="631"/>
      <c r="R25" s="631"/>
      <c r="S25" s="631"/>
      <c r="T25" s="631"/>
      <c r="U25" s="731"/>
      <c r="V25" s="568"/>
      <c r="W25" s="568"/>
      <c r="X25" s="568"/>
      <c r="Y25" s="568"/>
      <c r="Z25" s="568"/>
      <c r="AA25" s="568"/>
      <c r="AB25" s="568"/>
      <c r="AC25" s="568"/>
      <c r="AD25" s="568"/>
      <c r="AE25" s="568" t="s">
        <v>419</v>
      </c>
      <c r="AF25" s="568">
        <f>IF(SUM(B83:B87)=0,"",$AJ$19)</f>
        <v>0</v>
      </c>
      <c r="AG25" s="568">
        <f t="shared" ref="AG25:BD25" si="15">$AJ$19</f>
        <v>0</v>
      </c>
      <c r="AH25" s="568">
        <f t="shared" si="15"/>
        <v>0</v>
      </c>
      <c r="AI25" s="568">
        <f t="shared" si="15"/>
        <v>0</v>
      </c>
      <c r="AJ25" s="568">
        <f t="shared" si="15"/>
        <v>0</v>
      </c>
      <c r="AK25" s="568">
        <f t="shared" si="15"/>
        <v>0</v>
      </c>
      <c r="AL25" s="568">
        <f t="shared" si="15"/>
        <v>0</v>
      </c>
      <c r="AM25" s="568">
        <f t="shared" si="15"/>
        <v>0</v>
      </c>
      <c r="AN25" s="568">
        <f t="shared" si="15"/>
        <v>0</v>
      </c>
      <c r="AO25" s="568">
        <f t="shared" si="15"/>
        <v>0</v>
      </c>
      <c r="AP25" s="568">
        <f t="shared" si="15"/>
        <v>0</v>
      </c>
      <c r="AQ25" s="568">
        <f t="shared" si="15"/>
        <v>0</v>
      </c>
      <c r="AR25" s="568">
        <f t="shared" si="15"/>
        <v>0</v>
      </c>
      <c r="AS25" s="568">
        <f t="shared" si="15"/>
        <v>0</v>
      </c>
      <c r="AT25" s="568">
        <f t="shared" si="15"/>
        <v>0</v>
      </c>
      <c r="AU25" s="568">
        <f t="shared" si="15"/>
        <v>0</v>
      </c>
      <c r="AV25" s="568">
        <f t="shared" si="15"/>
        <v>0</v>
      </c>
      <c r="AW25" s="568">
        <f t="shared" si="15"/>
        <v>0</v>
      </c>
      <c r="AX25" s="568">
        <f t="shared" si="15"/>
        <v>0</v>
      </c>
      <c r="AY25" s="568">
        <f t="shared" si="15"/>
        <v>0</v>
      </c>
      <c r="AZ25" s="568">
        <f t="shared" si="15"/>
        <v>0</v>
      </c>
      <c r="BA25" s="568">
        <f t="shared" si="15"/>
        <v>0</v>
      </c>
      <c r="BB25" s="568">
        <f t="shared" si="15"/>
        <v>0</v>
      </c>
      <c r="BC25" s="568">
        <f t="shared" si="15"/>
        <v>0</v>
      </c>
      <c r="BD25" s="568">
        <f t="shared" si="15"/>
        <v>0</v>
      </c>
      <c r="BE25" s="568"/>
      <c r="BF25" s="568"/>
      <c r="BG25" s="568"/>
      <c r="BH25" s="568"/>
      <c r="BI25" s="568"/>
      <c r="BJ25" s="568"/>
      <c r="BK25" s="568"/>
      <c r="BL25" s="568"/>
      <c r="BM25" s="568"/>
      <c r="BN25" s="568"/>
      <c r="BO25" s="568"/>
      <c r="BP25" s="568"/>
      <c r="BQ25" s="568"/>
      <c r="BR25" s="568"/>
      <c r="BS25" s="568"/>
      <c r="BT25" s="568"/>
      <c r="BU25" s="568"/>
      <c r="BV25" s="568"/>
      <c r="BW25" s="568"/>
      <c r="BX25" s="568"/>
      <c r="BY25" s="568"/>
      <c r="BZ25" s="568"/>
      <c r="CA25" s="568"/>
      <c r="CB25" s="568"/>
      <c r="CC25" s="568"/>
      <c r="CD25" s="568"/>
      <c r="CE25" s="568"/>
      <c r="CF25" s="568"/>
      <c r="CG25" s="568"/>
      <c r="CH25" s="568"/>
      <c r="CI25" s="568"/>
      <c r="CJ25" s="568"/>
      <c r="CK25" s="568"/>
      <c r="CL25" s="568"/>
      <c r="CM25" s="568"/>
      <c r="CN25" s="568"/>
      <c r="CO25" s="568"/>
      <c r="CP25" s="568"/>
      <c r="CQ25" s="568"/>
      <c r="CR25" s="568"/>
      <c r="CS25" s="568"/>
      <c r="CT25" s="568"/>
      <c r="CU25" s="568"/>
    </row>
    <row r="26" spans="1:99" ht="12.75" customHeight="1">
      <c r="A26" s="726"/>
      <c r="B26" s="616"/>
      <c r="C26" s="616"/>
      <c r="D26" s="616"/>
      <c r="E26" s="616"/>
      <c r="F26" s="616"/>
      <c r="G26" s="616"/>
      <c r="H26" s="616"/>
      <c r="I26" s="616"/>
      <c r="J26" s="616"/>
      <c r="K26" s="616"/>
      <c r="L26" s="616"/>
      <c r="M26" s="616"/>
      <c r="N26" s="616"/>
      <c r="O26" s="616"/>
      <c r="P26" s="616"/>
      <c r="Q26" s="616"/>
      <c r="R26" s="616"/>
      <c r="S26" s="616"/>
      <c r="T26" s="616"/>
      <c r="U26" s="571"/>
      <c r="AE26" s="568" t="s">
        <v>418</v>
      </c>
      <c r="AG26" s="568">
        <f t="shared" ref="AG26:AY26" si="16">IF(C93&gt;B93,1,0)</f>
        <v>1</v>
      </c>
      <c r="AH26" s="568">
        <f t="shared" si="16"/>
        <v>0</v>
      </c>
      <c r="AI26" s="568">
        <f t="shared" si="16"/>
        <v>0</v>
      </c>
      <c r="AJ26" s="568">
        <f t="shared" si="16"/>
        <v>0</v>
      </c>
      <c r="AK26" s="568">
        <f t="shared" si="16"/>
        <v>1</v>
      </c>
      <c r="AL26" s="568">
        <f t="shared" si="16"/>
        <v>1</v>
      </c>
      <c r="AM26" s="568">
        <f t="shared" si="16"/>
        <v>0</v>
      </c>
      <c r="AN26" s="568">
        <f t="shared" si="16"/>
        <v>0</v>
      </c>
      <c r="AO26" s="568">
        <f t="shared" si="16"/>
        <v>0</v>
      </c>
      <c r="AP26" s="568">
        <f t="shared" si="16"/>
        <v>1</v>
      </c>
      <c r="AQ26" s="568">
        <f t="shared" si="16"/>
        <v>0</v>
      </c>
      <c r="AR26" s="568">
        <f t="shared" si="16"/>
        <v>0</v>
      </c>
      <c r="AS26" s="568">
        <f t="shared" si="16"/>
        <v>0</v>
      </c>
      <c r="AT26" s="568">
        <f t="shared" si="16"/>
        <v>0</v>
      </c>
      <c r="AU26" s="568">
        <f t="shared" si="16"/>
        <v>0</v>
      </c>
      <c r="AV26" s="568">
        <f t="shared" si="16"/>
        <v>0</v>
      </c>
      <c r="AW26" s="568">
        <f t="shared" si="16"/>
        <v>0</v>
      </c>
      <c r="AX26" s="568">
        <f t="shared" si="16"/>
        <v>0</v>
      </c>
      <c r="AY26" s="568">
        <f t="shared" si="16"/>
        <v>0</v>
      </c>
      <c r="AZ26" s="568">
        <f>IF(B106&gt;U93,1,0)</f>
        <v>0</v>
      </c>
      <c r="BA26" s="568">
        <f>IF(C106&gt;B106,1,0)</f>
        <v>0</v>
      </c>
      <c r="BB26" s="568">
        <f>IF(D106&gt;C106,1,0)</f>
        <v>0</v>
      </c>
      <c r="BC26" s="568">
        <f>IF(E106&gt;D106,1,0)</f>
        <v>0</v>
      </c>
      <c r="BD26" s="568">
        <f>IF(F106&gt;E106,1,0)</f>
        <v>0</v>
      </c>
    </row>
    <row r="27" spans="1:99" ht="12.75" customHeight="1">
      <c r="A27" s="726"/>
      <c r="B27" s="616"/>
      <c r="C27" s="616"/>
      <c r="D27" s="616"/>
      <c r="E27" s="616"/>
      <c r="F27" s="616"/>
      <c r="G27" s="616"/>
      <c r="H27" s="616"/>
      <c r="I27" s="616"/>
      <c r="J27" s="616"/>
      <c r="K27" s="616"/>
      <c r="L27" s="616"/>
      <c r="M27" s="616"/>
      <c r="N27" s="616"/>
      <c r="O27" s="616"/>
      <c r="P27" s="616"/>
      <c r="Q27" s="616"/>
      <c r="R27" s="616"/>
      <c r="S27" s="616"/>
      <c r="T27" s="616"/>
      <c r="U27" s="571"/>
      <c r="AE27" s="568" t="s">
        <v>417</v>
      </c>
      <c r="AG27" s="568">
        <f>IF(AG26=1,AF27+AG26,0)</f>
        <v>1</v>
      </c>
      <c r="AH27" s="568">
        <f t="shared" ref="AH27:AY27" si="17">IF(AND(AH26=1,D93&gt;C93),AG27+AH26,0)</f>
        <v>0</v>
      </c>
      <c r="AI27" s="568">
        <f t="shared" si="17"/>
        <v>0</v>
      </c>
      <c r="AJ27" s="568">
        <f t="shared" si="17"/>
        <v>0</v>
      </c>
      <c r="AK27" s="568">
        <f t="shared" si="17"/>
        <v>1</v>
      </c>
      <c r="AL27" s="568">
        <f t="shared" si="17"/>
        <v>2</v>
      </c>
      <c r="AM27" s="568">
        <f t="shared" si="17"/>
        <v>0</v>
      </c>
      <c r="AN27" s="568">
        <f t="shared" si="17"/>
        <v>0</v>
      </c>
      <c r="AO27" s="568">
        <f t="shared" si="17"/>
        <v>0</v>
      </c>
      <c r="AP27" s="568">
        <f t="shared" si="17"/>
        <v>1</v>
      </c>
      <c r="AQ27" s="568">
        <f t="shared" si="17"/>
        <v>0</v>
      </c>
      <c r="AR27" s="568">
        <f t="shared" si="17"/>
        <v>0</v>
      </c>
      <c r="AS27" s="568">
        <f t="shared" si="17"/>
        <v>0</v>
      </c>
      <c r="AT27" s="568">
        <f t="shared" si="17"/>
        <v>0</v>
      </c>
      <c r="AU27" s="568">
        <f t="shared" si="17"/>
        <v>0</v>
      </c>
      <c r="AV27" s="568">
        <f t="shared" si="17"/>
        <v>0</v>
      </c>
      <c r="AW27" s="568">
        <f t="shared" si="17"/>
        <v>0</v>
      </c>
      <c r="AX27" s="568">
        <f t="shared" si="17"/>
        <v>0</v>
      </c>
      <c r="AY27" s="568">
        <f t="shared" si="17"/>
        <v>0</v>
      </c>
      <c r="AZ27" s="568">
        <f>IF(AND(AZ26=1,B106&gt;U93),AY27+AZ26,0)</f>
        <v>0</v>
      </c>
      <c r="BA27" s="568">
        <f>IF(AND(BA26=1,C106&gt;B106),AZ27+BA26,0)</f>
        <v>0</v>
      </c>
      <c r="BB27" s="568">
        <f>IF(AND(BB26=1,D106&gt;C106),BA27+BB26,0)</f>
        <v>0</v>
      </c>
      <c r="BC27" s="568">
        <f>IF(AND(BC26=1,E106&gt;D106),BB27+BC26,0)</f>
        <v>0</v>
      </c>
      <c r="BD27" s="568">
        <f>IF(AND(BD26=1,F106&gt;E106),BC27+BD26,0)</f>
        <v>0</v>
      </c>
    </row>
    <row r="28" spans="1:99" ht="12.75" customHeight="1">
      <c r="A28" s="726"/>
      <c r="B28" s="616"/>
      <c r="C28" s="616"/>
      <c r="D28" s="616"/>
      <c r="E28" s="616"/>
      <c r="F28" s="616"/>
      <c r="G28" s="616"/>
      <c r="H28" s="616"/>
      <c r="I28" s="616"/>
      <c r="J28" s="616"/>
      <c r="K28" s="616"/>
      <c r="L28" s="616"/>
      <c r="M28" s="616"/>
      <c r="N28" s="616"/>
      <c r="O28" s="616"/>
      <c r="P28" s="616"/>
      <c r="Q28" s="616"/>
      <c r="R28" s="616"/>
      <c r="S28" s="616"/>
      <c r="T28" s="616"/>
      <c r="U28" s="571"/>
      <c r="AE28" s="568" t="s">
        <v>416</v>
      </c>
      <c r="AG28" s="568">
        <f>IF(AG26=0,AF28+1,0)</f>
        <v>0</v>
      </c>
      <c r="AH28" s="568">
        <f t="shared" ref="AH28:AY28" si="18">IF(AND(AH26=0,D93&lt;C93),AG28+1,0)</f>
        <v>1</v>
      </c>
      <c r="AI28" s="568">
        <f t="shared" si="18"/>
        <v>2</v>
      </c>
      <c r="AJ28" s="568">
        <f t="shared" si="18"/>
        <v>3</v>
      </c>
      <c r="AK28" s="568">
        <f t="shared" si="18"/>
        <v>0</v>
      </c>
      <c r="AL28" s="568">
        <f t="shared" si="18"/>
        <v>0</v>
      </c>
      <c r="AM28" s="568">
        <f t="shared" si="18"/>
        <v>1</v>
      </c>
      <c r="AN28" s="568">
        <f t="shared" si="18"/>
        <v>2</v>
      </c>
      <c r="AO28" s="568">
        <f t="shared" si="18"/>
        <v>0</v>
      </c>
      <c r="AP28" s="568">
        <f t="shared" si="18"/>
        <v>0</v>
      </c>
      <c r="AQ28" s="568">
        <f t="shared" si="18"/>
        <v>0</v>
      </c>
      <c r="AR28" s="568">
        <f t="shared" si="18"/>
        <v>0</v>
      </c>
      <c r="AS28" s="568">
        <f t="shared" si="18"/>
        <v>0</v>
      </c>
      <c r="AT28" s="568">
        <f t="shared" si="18"/>
        <v>0</v>
      </c>
      <c r="AU28" s="568">
        <f t="shared" si="18"/>
        <v>0</v>
      </c>
      <c r="AV28" s="568">
        <f t="shared" si="18"/>
        <v>0</v>
      </c>
      <c r="AW28" s="568">
        <f t="shared" si="18"/>
        <v>0</v>
      </c>
      <c r="AX28" s="568">
        <f t="shared" si="18"/>
        <v>0</v>
      </c>
      <c r="AY28" s="568">
        <f t="shared" si="18"/>
        <v>0</v>
      </c>
      <c r="AZ28" s="568">
        <f>IF(AND(AZ26=0,B106&lt;U93),AY28+1,0)</f>
        <v>0</v>
      </c>
      <c r="BA28" s="568">
        <f>IF(AND(BA26=0,C106&lt;B106),AZ28+1,0)</f>
        <v>0</v>
      </c>
      <c r="BB28" s="568">
        <f>IF(AND(BB26=0,D106&lt;C106),BA28+1,0)</f>
        <v>0</v>
      </c>
      <c r="BC28" s="568">
        <f>IF(AND(BC26=0,E106&lt;D106),BB28+1,0)</f>
        <v>0</v>
      </c>
      <c r="BD28" s="568">
        <f>IF(AND(BD26=0,F106&lt;E106),BC28+1,0)</f>
        <v>0</v>
      </c>
    </row>
    <row r="29" spans="1:99" ht="12.75" customHeight="1">
      <c r="A29" s="726"/>
      <c r="B29" s="616"/>
      <c r="C29" s="616"/>
      <c r="D29" s="616"/>
      <c r="E29" s="616"/>
      <c r="F29" s="616"/>
      <c r="G29" s="616"/>
      <c r="H29" s="616"/>
      <c r="I29" s="616"/>
      <c r="J29" s="616"/>
      <c r="K29" s="616"/>
      <c r="L29" s="616"/>
      <c r="M29" s="616"/>
      <c r="N29" s="616"/>
      <c r="O29" s="616"/>
      <c r="P29" s="616"/>
      <c r="Q29" s="616"/>
      <c r="R29" s="616"/>
      <c r="S29" s="616"/>
      <c r="T29" s="616"/>
      <c r="U29" s="571"/>
      <c r="AE29" s="568" t="s">
        <v>415</v>
      </c>
      <c r="AF29" s="568">
        <f>MAX(AG27:BD27)+1</f>
        <v>3</v>
      </c>
      <c r="AG29" s="568" t="s">
        <v>414</v>
      </c>
    </row>
    <row r="30" spans="1:99" ht="12.75" customHeight="1">
      <c r="A30" s="726"/>
      <c r="B30" s="616"/>
      <c r="C30" s="616"/>
      <c r="D30" s="616"/>
      <c r="E30" s="616"/>
      <c r="F30" s="616"/>
      <c r="G30" s="616"/>
      <c r="H30" s="616"/>
      <c r="I30" s="616"/>
      <c r="J30" s="616"/>
      <c r="K30" s="616"/>
      <c r="L30" s="616"/>
      <c r="M30" s="616"/>
      <c r="N30" s="616"/>
      <c r="O30" s="616"/>
      <c r="P30" s="616"/>
      <c r="Q30" s="616"/>
      <c r="R30" s="616"/>
      <c r="S30" s="616"/>
      <c r="T30" s="616"/>
      <c r="U30" s="571"/>
      <c r="AE30" s="568" t="s">
        <v>413</v>
      </c>
      <c r="AF30" s="568">
        <f>MAX(AG28:BD28)+1</f>
        <v>4</v>
      </c>
      <c r="AG30" s="568" t="s">
        <v>412</v>
      </c>
    </row>
    <row r="31" spans="1:99" ht="12.75" customHeight="1">
      <c r="A31" s="726"/>
      <c r="B31" s="616"/>
      <c r="C31" s="616"/>
      <c r="D31" s="616"/>
      <c r="E31" s="616"/>
      <c r="F31" s="616"/>
      <c r="G31" s="616"/>
      <c r="H31" s="616"/>
      <c r="I31" s="616"/>
      <c r="J31" s="616"/>
      <c r="K31" s="616"/>
      <c r="L31" s="616"/>
      <c r="M31" s="616"/>
      <c r="N31" s="616"/>
      <c r="O31" s="616"/>
      <c r="P31" s="616"/>
      <c r="Q31" s="616"/>
      <c r="R31" s="616"/>
      <c r="S31" s="616"/>
      <c r="T31" s="616"/>
      <c r="U31" s="571"/>
      <c r="AE31" s="568" t="s">
        <v>411</v>
      </c>
      <c r="AF31" s="568">
        <f ca="1">COUNTIF($AG$27:$BD$27,"="&amp;INDIRECT(AG29)-1)</f>
        <v>1</v>
      </c>
    </row>
    <row r="32" spans="1:99" ht="12.75" customHeight="1">
      <c r="A32" s="726"/>
      <c r="B32" s="616"/>
      <c r="C32" s="616"/>
      <c r="D32" s="616"/>
      <c r="E32" s="616"/>
      <c r="F32" s="616"/>
      <c r="G32" s="616"/>
      <c r="H32" s="616"/>
      <c r="I32" s="616"/>
      <c r="J32" s="616"/>
      <c r="K32" s="616"/>
      <c r="L32" s="616"/>
      <c r="M32" s="616"/>
      <c r="N32" s="616"/>
      <c r="O32" s="616"/>
      <c r="P32" s="616"/>
      <c r="Q32" s="616"/>
      <c r="R32" s="616"/>
      <c r="S32" s="616"/>
      <c r="T32" s="616"/>
      <c r="U32" s="571"/>
      <c r="AE32" s="568" t="s">
        <v>410</v>
      </c>
      <c r="AF32" s="568">
        <f ca="1">COUNTIF($AG$28:$BD$28,"="&amp;INDIRECT(AG30)-1)</f>
        <v>1</v>
      </c>
    </row>
    <row r="33" spans="1:99" ht="12.75" customHeight="1">
      <c r="A33" s="726"/>
      <c r="B33" s="616"/>
      <c r="C33" s="616"/>
      <c r="D33" s="616"/>
      <c r="E33" s="616"/>
      <c r="F33" s="616"/>
      <c r="G33" s="616"/>
      <c r="H33" s="616"/>
      <c r="I33" s="616"/>
      <c r="J33" s="616"/>
      <c r="K33" s="616"/>
      <c r="L33" s="616"/>
      <c r="M33" s="616"/>
      <c r="N33" s="616"/>
      <c r="O33" s="616"/>
      <c r="P33" s="616"/>
      <c r="Q33" s="616"/>
      <c r="R33" s="616"/>
      <c r="S33" s="616"/>
      <c r="T33" s="616"/>
      <c r="U33" s="571"/>
      <c r="AE33" s="568" t="s">
        <v>409</v>
      </c>
      <c r="AG33" s="568">
        <f t="shared" ref="AG33:AY33" si="19">IF(C94&gt;B94,1,0)</f>
        <v>0</v>
      </c>
      <c r="AH33" s="568">
        <f t="shared" si="19"/>
        <v>0</v>
      </c>
      <c r="AI33" s="568">
        <f t="shared" si="19"/>
        <v>1</v>
      </c>
      <c r="AJ33" s="568">
        <f t="shared" si="19"/>
        <v>0</v>
      </c>
      <c r="AK33" s="568">
        <f t="shared" si="19"/>
        <v>1</v>
      </c>
      <c r="AL33" s="568">
        <f t="shared" si="19"/>
        <v>0</v>
      </c>
      <c r="AM33" s="568">
        <f t="shared" si="19"/>
        <v>0</v>
      </c>
      <c r="AN33" s="568">
        <f t="shared" si="19"/>
        <v>0</v>
      </c>
      <c r="AO33" s="568">
        <f t="shared" si="19"/>
        <v>0</v>
      </c>
      <c r="AP33" s="568">
        <f t="shared" si="19"/>
        <v>1</v>
      </c>
      <c r="AQ33" s="568">
        <f t="shared" si="19"/>
        <v>0</v>
      </c>
      <c r="AR33" s="568">
        <f t="shared" si="19"/>
        <v>0</v>
      </c>
      <c r="AS33" s="568">
        <f t="shared" si="19"/>
        <v>0</v>
      </c>
      <c r="AT33" s="568">
        <f t="shared" si="19"/>
        <v>0</v>
      </c>
      <c r="AU33" s="568">
        <f t="shared" si="19"/>
        <v>0</v>
      </c>
      <c r="AV33" s="568">
        <f t="shared" si="19"/>
        <v>0</v>
      </c>
      <c r="AW33" s="568">
        <f t="shared" si="19"/>
        <v>0</v>
      </c>
      <c r="AX33" s="568">
        <f t="shared" si="19"/>
        <v>0</v>
      </c>
      <c r="AY33" s="568">
        <f t="shared" si="19"/>
        <v>0</v>
      </c>
      <c r="AZ33" s="568">
        <f>IF(B107&gt;U94,1,0)</f>
        <v>0</v>
      </c>
      <c r="BA33" s="568">
        <f>IF(C107&gt;B107,1,0)</f>
        <v>0</v>
      </c>
      <c r="BB33" s="568">
        <f>IF(D107&gt;C107,1,0)</f>
        <v>0</v>
      </c>
      <c r="BC33" s="568">
        <f>IF(E107&gt;D107,1,0)</f>
        <v>0</v>
      </c>
      <c r="BD33" s="568">
        <f>IF(F107&gt;E107,1,0)</f>
        <v>0</v>
      </c>
    </row>
    <row r="34" spans="1:99" ht="12.75" customHeight="1">
      <c r="A34" s="726"/>
      <c r="B34" s="616"/>
      <c r="C34" s="616"/>
      <c r="D34" s="616"/>
      <c r="E34" s="616"/>
      <c r="F34" s="616"/>
      <c r="G34" s="616"/>
      <c r="H34" s="616"/>
      <c r="I34" s="616"/>
      <c r="J34" s="616"/>
      <c r="K34" s="616"/>
      <c r="L34" s="616"/>
      <c r="M34" s="616"/>
      <c r="N34" s="616"/>
      <c r="O34" s="616"/>
      <c r="P34" s="616"/>
      <c r="Q34" s="616"/>
      <c r="R34" s="616"/>
      <c r="S34" s="616"/>
      <c r="T34" s="616"/>
      <c r="U34" s="571"/>
      <c r="AE34" s="568" t="s">
        <v>408</v>
      </c>
      <c r="AG34" s="568">
        <f>IF(AG33=1,AF34+AG33,0)</f>
        <v>0</v>
      </c>
      <c r="AH34" s="568">
        <f t="shared" ref="AH34:AY34" si="20">IF(AND(AH33=1,D94&gt;C94),AG34+AH33,0)</f>
        <v>0</v>
      </c>
      <c r="AI34" s="568">
        <f t="shared" si="20"/>
        <v>1</v>
      </c>
      <c r="AJ34" s="568">
        <f t="shared" si="20"/>
        <v>0</v>
      </c>
      <c r="AK34" s="568">
        <f t="shared" si="20"/>
        <v>1</v>
      </c>
      <c r="AL34" s="568">
        <f t="shared" si="20"/>
        <v>0</v>
      </c>
      <c r="AM34" s="568">
        <f t="shared" si="20"/>
        <v>0</v>
      </c>
      <c r="AN34" s="568">
        <f t="shared" si="20"/>
        <v>0</v>
      </c>
      <c r="AO34" s="568">
        <f t="shared" si="20"/>
        <v>0</v>
      </c>
      <c r="AP34" s="568">
        <f t="shared" si="20"/>
        <v>1</v>
      </c>
      <c r="AQ34" s="568">
        <f t="shared" si="20"/>
        <v>0</v>
      </c>
      <c r="AR34" s="568">
        <f t="shared" si="20"/>
        <v>0</v>
      </c>
      <c r="AS34" s="568">
        <f t="shared" si="20"/>
        <v>0</v>
      </c>
      <c r="AT34" s="568">
        <f t="shared" si="20"/>
        <v>0</v>
      </c>
      <c r="AU34" s="568">
        <f t="shared" si="20"/>
        <v>0</v>
      </c>
      <c r="AV34" s="568">
        <f t="shared" si="20"/>
        <v>0</v>
      </c>
      <c r="AW34" s="568">
        <f t="shared" si="20"/>
        <v>0</v>
      </c>
      <c r="AX34" s="568">
        <f t="shared" si="20"/>
        <v>0</v>
      </c>
      <c r="AY34" s="568">
        <f t="shared" si="20"/>
        <v>0</v>
      </c>
      <c r="AZ34" s="568">
        <f>IF(AND(AZ33=1,B107&gt;U94),AY34+AZ33,0)</f>
        <v>0</v>
      </c>
      <c r="BA34" s="568">
        <f>IF(AND(BA33=1,C107&gt;B107),AZ34+BA33,0)</f>
        <v>0</v>
      </c>
      <c r="BB34" s="568">
        <f>IF(AND(BB33=1,D107&gt;C107),BA34+BB33,0)</f>
        <v>0</v>
      </c>
      <c r="BC34" s="568">
        <f>IF(AND(BC33=1,E107&gt;D107),BB34+BC33,0)</f>
        <v>0</v>
      </c>
      <c r="BD34" s="568">
        <f>IF(AND(BD33=1,F107&gt;E107),BC34+BD33,0)</f>
        <v>0</v>
      </c>
    </row>
    <row r="35" spans="1:99" ht="12.75" customHeight="1">
      <c r="A35" s="726"/>
      <c r="B35" s="616"/>
      <c r="C35" s="616"/>
      <c r="D35" s="616"/>
      <c r="E35" s="616"/>
      <c r="F35" s="616"/>
      <c r="G35" s="616"/>
      <c r="H35" s="616"/>
      <c r="I35" s="616"/>
      <c r="J35" s="616"/>
      <c r="K35" s="616"/>
      <c r="L35" s="616"/>
      <c r="M35" s="616"/>
      <c r="N35" s="616"/>
      <c r="O35" s="616"/>
      <c r="P35" s="616"/>
      <c r="Q35" s="616"/>
      <c r="R35" s="616"/>
      <c r="S35" s="616"/>
      <c r="T35" s="616"/>
      <c r="U35" s="571"/>
      <c r="AE35" s="568" t="s">
        <v>407</v>
      </c>
      <c r="AG35" s="568">
        <f>IF(AG33=0,AF35+1,0)</f>
        <v>1</v>
      </c>
      <c r="AH35" s="568">
        <f t="shared" ref="AH35:AY35" si="21">IF(AND(AH33=0,D94&lt;C94),AG35+1,0)</f>
        <v>2</v>
      </c>
      <c r="AI35" s="568">
        <f t="shared" si="21"/>
        <v>0</v>
      </c>
      <c r="AJ35" s="568">
        <f t="shared" si="21"/>
        <v>1</v>
      </c>
      <c r="AK35" s="568">
        <f t="shared" si="21"/>
        <v>0</v>
      </c>
      <c r="AL35" s="568">
        <f t="shared" si="21"/>
        <v>1</v>
      </c>
      <c r="AM35" s="568">
        <f t="shared" si="21"/>
        <v>0</v>
      </c>
      <c r="AN35" s="568">
        <f t="shared" si="21"/>
        <v>0</v>
      </c>
      <c r="AO35" s="568">
        <f t="shared" si="21"/>
        <v>0</v>
      </c>
      <c r="AP35" s="568">
        <f t="shared" si="21"/>
        <v>0</v>
      </c>
      <c r="AQ35" s="568">
        <f t="shared" si="21"/>
        <v>0</v>
      </c>
      <c r="AR35" s="568">
        <f t="shared" si="21"/>
        <v>0</v>
      </c>
      <c r="AS35" s="568">
        <f t="shared" si="21"/>
        <v>0</v>
      </c>
      <c r="AT35" s="568">
        <f t="shared" si="21"/>
        <v>0</v>
      </c>
      <c r="AU35" s="568">
        <f t="shared" si="21"/>
        <v>0</v>
      </c>
      <c r="AV35" s="568">
        <f t="shared" si="21"/>
        <v>0</v>
      </c>
      <c r="AW35" s="568">
        <f t="shared" si="21"/>
        <v>0</v>
      </c>
      <c r="AX35" s="568">
        <f t="shared" si="21"/>
        <v>0</v>
      </c>
      <c r="AY35" s="568">
        <f t="shared" si="21"/>
        <v>0</v>
      </c>
      <c r="AZ35" s="568">
        <f>IF(AND(AZ33=0,B107&lt;U94),AY35+1,0)</f>
        <v>0</v>
      </c>
      <c r="BA35" s="568">
        <f>IF(AND(BA33=0,C107&lt;B107),AZ35+1,0)</f>
        <v>0</v>
      </c>
      <c r="BB35" s="568">
        <f>IF(AND(BB33=0,D107&lt;C107),BA35+1,0)</f>
        <v>0</v>
      </c>
      <c r="BC35" s="568">
        <f>IF(AND(BC33=0,E107&lt;D107),BB35+1,0)</f>
        <v>0</v>
      </c>
      <c r="BD35" s="568">
        <f>IF(AND(BD33=0,F107&lt;E107),BC35+1,0)</f>
        <v>0</v>
      </c>
    </row>
    <row r="36" spans="1:99">
      <c r="A36" s="726"/>
      <c r="B36" s="616"/>
      <c r="C36" s="616"/>
      <c r="D36" s="616"/>
      <c r="E36" s="616"/>
      <c r="F36" s="616"/>
      <c r="G36" s="616"/>
      <c r="H36" s="616"/>
      <c r="I36" s="616"/>
      <c r="J36" s="616"/>
      <c r="K36" s="616"/>
      <c r="L36" s="616"/>
      <c r="M36" s="616"/>
      <c r="N36" s="616"/>
      <c r="O36" s="616"/>
      <c r="P36" s="616"/>
      <c r="Q36" s="616"/>
      <c r="R36" s="616"/>
      <c r="S36" s="616"/>
      <c r="T36" s="616"/>
      <c r="U36" s="571"/>
      <c r="AE36" s="568" t="s">
        <v>406</v>
      </c>
      <c r="AF36" s="568">
        <f>MAX(AG34:BD34)+1</f>
        <v>2</v>
      </c>
      <c r="AG36" s="568" t="s">
        <v>405</v>
      </c>
    </row>
    <row r="37" spans="1:99">
      <c r="A37" s="726"/>
      <c r="B37" s="616"/>
      <c r="C37" s="616"/>
      <c r="D37" s="616"/>
      <c r="E37" s="616"/>
      <c r="F37" s="616"/>
      <c r="G37" s="616"/>
      <c r="H37" s="616"/>
      <c r="I37" s="616"/>
      <c r="J37" s="616"/>
      <c r="K37" s="616"/>
      <c r="L37" s="616"/>
      <c r="M37" s="616"/>
      <c r="N37" s="616"/>
      <c r="O37" s="616"/>
      <c r="P37" s="616"/>
      <c r="Q37" s="616"/>
      <c r="R37" s="616"/>
      <c r="S37" s="616"/>
      <c r="T37" s="616"/>
      <c r="U37" s="571"/>
      <c r="AE37" s="568" t="s">
        <v>404</v>
      </c>
      <c r="AF37" s="568">
        <f>MAX(AG35:BD35)+1</f>
        <v>3</v>
      </c>
      <c r="AG37" s="568" t="s">
        <v>403</v>
      </c>
    </row>
    <row r="38" spans="1:99">
      <c r="A38" s="726"/>
      <c r="B38" s="616"/>
      <c r="C38" s="616"/>
      <c r="D38" s="616"/>
      <c r="E38" s="616"/>
      <c r="F38" s="616"/>
      <c r="G38" s="616"/>
      <c r="H38" s="616"/>
      <c r="I38" s="616"/>
      <c r="J38" s="616"/>
      <c r="K38" s="616"/>
      <c r="L38" s="616"/>
      <c r="M38" s="616"/>
      <c r="N38" s="616"/>
      <c r="O38" s="616"/>
      <c r="P38" s="616"/>
      <c r="Q38" s="616"/>
      <c r="R38" s="616"/>
      <c r="S38" s="616"/>
      <c r="T38" s="616"/>
      <c r="U38" s="571"/>
      <c r="AE38" s="568" t="s">
        <v>402</v>
      </c>
      <c r="AF38" s="568">
        <f ca="1">COUNTIF($AG$34:$BD$34,"="&amp;INDIRECT(AG36)-1)</f>
        <v>3</v>
      </c>
    </row>
    <row r="39" spans="1:99">
      <c r="A39" s="726"/>
      <c r="B39" s="616"/>
      <c r="C39" s="616"/>
      <c r="D39" s="616"/>
      <c r="E39" s="616"/>
      <c r="F39" s="616"/>
      <c r="G39" s="616"/>
      <c r="H39" s="616"/>
      <c r="I39" s="616"/>
      <c r="J39" s="616"/>
      <c r="K39" s="616"/>
      <c r="L39" s="616"/>
      <c r="M39" s="616"/>
      <c r="N39" s="616"/>
      <c r="O39" s="616"/>
      <c r="P39" s="616"/>
      <c r="Q39" s="616"/>
      <c r="R39" s="616"/>
      <c r="S39" s="616"/>
      <c r="T39" s="616"/>
      <c r="U39" s="571"/>
      <c r="AE39" s="568" t="s">
        <v>401</v>
      </c>
      <c r="AF39" s="568">
        <f ca="1">COUNTIF($AG$35:$BD$35,"="&amp;INDIRECT(AG37)-1)</f>
        <v>1</v>
      </c>
    </row>
    <row r="40" spans="1:99">
      <c r="A40" s="726"/>
      <c r="B40" s="616"/>
      <c r="C40" s="616"/>
      <c r="D40" s="616"/>
      <c r="E40" s="616"/>
      <c r="F40" s="616"/>
      <c r="G40" s="616"/>
      <c r="H40" s="616"/>
      <c r="I40" s="616"/>
      <c r="J40" s="616"/>
      <c r="K40" s="616"/>
      <c r="L40" s="616"/>
      <c r="M40" s="616"/>
      <c r="N40" s="616"/>
      <c r="O40" s="616"/>
      <c r="P40" s="616"/>
      <c r="Q40" s="616"/>
      <c r="R40" s="616"/>
      <c r="S40" s="616"/>
      <c r="T40" s="616"/>
      <c r="U40" s="571"/>
      <c r="AE40" s="568" t="s">
        <v>400</v>
      </c>
      <c r="AF40" s="568">
        <v>1</v>
      </c>
      <c r="AG40" s="568">
        <f t="shared" ref="AG40:BD40" si="22">1+AF40</f>
        <v>2</v>
      </c>
      <c r="AH40" s="568">
        <f t="shared" si="22"/>
        <v>3</v>
      </c>
      <c r="AI40" s="568">
        <f t="shared" si="22"/>
        <v>4</v>
      </c>
      <c r="AJ40" s="568">
        <f t="shared" si="22"/>
        <v>5</v>
      </c>
      <c r="AK40" s="568">
        <f t="shared" si="22"/>
        <v>6</v>
      </c>
      <c r="AL40" s="568">
        <f t="shared" si="22"/>
        <v>7</v>
      </c>
      <c r="AM40" s="568">
        <f t="shared" si="22"/>
        <v>8</v>
      </c>
      <c r="AN40" s="568">
        <f t="shared" si="22"/>
        <v>9</v>
      </c>
      <c r="AO40" s="568">
        <f t="shared" si="22"/>
        <v>10</v>
      </c>
      <c r="AP40" s="568">
        <f t="shared" si="22"/>
        <v>11</v>
      </c>
      <c r="AQ40" s="568">
        <f t="shared" si="22"/>
        <v>12</v>
      </c>
      <c r="AR40" s="568">
        <f t="shared" si="22"/>
        <v>13</v>
      </c>
      <c r="AS40" s="568">
        <f t="shared" si="22"/>
        <v>14</v>
      </c>
      <c r="AT40" s="568">
        <f t="shared" si="22"/>
        <v>15</v>
      </c>
      <c r="AU40" s="568">
        <f t="shared" si="22"/>
        <v>16</v>
      </c>
      <c r="AV40" s="568">
        <f t="shared" si="22"/>
        <v>17</v>
      </c>
      <c r="AW40" s="568">
        <f t="shared" si="22"/>
        <v>18</v>
      </c>
      <c r="AX40" s="568">
        <f t="shared" si="22"/>
        <v>19</v>
      </c>
      <c r="AY40" s="568">
        <f t="shared" si="22"/>
        <v>20</v>
      </c>
      <c r="AZ40" s="568">
        <f t="shared" si="22"/>
        <v>21</v>
      </c>
      <c r="BA40" s="568">
        <f t="shared" si="22"/>
        <v>22</v>
      </c>
      <c r="BB40" s="568">
        <f t="shared" si="22"/>
        <v>23</v>
      </c>
      <c r="BC40" s="568">
        <f t="shared" si="22"/>
        <v>24</v>
      </c>
      <c r="BD40" s="568">
        <f t="shared" si="22"/>
        <v>25</v>
      </c>
    </row>
    <row r="41" spans="1:99">
      <c r="A41" s="726"/>
      <c r="B41" s="616"/>
      <c r="C41" s="616"/>
      <c r="D41" s="616"/>
      <c r="E41" s="616"/>
      <c r="F41" s="616"/>
      <c r="G41" s="616"/>
      <c r="H41" s="616"/>
      <c r="I41" s="616"/>
      <c r="J41" s="616"/>
      <c r="K41" s="616"/>
      <c r="L41" s="616"/>
      <c r="M41" s="616"/>
      <c r="N41" s="616"/>
      <c r="O41" s="616"/>
      <c r="P41" s="616"/>
      <c r="Q41" s="616"/>
      <c r="R41" s="616"/>
      <c r="S41" s="616"/>
      <c r="T41" s="616"/>
      <c r="U41" s="571"/>
    </row>
    <row r="42" spans="1:99">
      <c r="A42" s="726"/>
      <c r="B42" s="616"/>
      <c r="C42" s="616"/>
      <c r="D42" s="616"/>
      <c r="E42" s="616"/>
      <c r="F42" s="616"/>
      <c r="G42" s="616"/>
      <c r="H42" s="616"/>
      <c r="I42" s="616"/>
      <c r="J42" s="616"/>
      <c r="K42" s="616"/>
      <c r="L42" s="616"/>
      <c r="M42" s="616"/>
      <c r="N42" s="616"/>
      <c r="O42" s="616"/>
      <c r="P42" s="616"/>
      <c r="Q42" s="616"/>
      <c r="R42" s="616"/>
      <c r="S42" s="616"/>
      <c r="T42" s="616"/>
      <c r="U42" s="571"/>
    </row>
    <row r="43" spans="1:99" s="727" customFormat="1">
      <c r="A43" s="726"/>
      <c r="B43" s="616"/>
      <c r="C43" s="616"/>
      <c r="D43" s="616"/>
      <c r="E43" s="616"/>
      <c r="F43" s="616"/>
      <c r="G43" s="616"/>
      <c r="H43" s="616"/>
      <c r="I43" s="616"/>
      <c r="J43" s="616"/>
      <c r="K43" s="616"/>
      <c r="L43" s="616"/>
      <c r="M43" s="616"/>
      <c r="N43" s="616"/>
      <c r="O43" s="616"/>
      <c r="P43" s="616"/>
      <c r="Q43" s="616"/>
      <c r="R43" s="616"/>
      <c r="S43" s="616"/>
      <c r="T43" s="616"/>
      <c r="U43" s="729"/>
      <c r="V43" s="568"/>
      <c r="W43" s="568"/>
      <c r="X43" s="568"/>
      <c r="Y43" s="568"/>
      <c r="Z43" s="568"/>
      <c r="AA43" s="568"/>
      <c r="AB43" s="568"/>
      <c r="AC43" s="568"/>
      <c r="AD43" s="568"/>
      <c r="AE43" s="568"/>
      <c r="AF43" s="568"/>
      <c r="AG43" s="568"/>
      <c r="AH43" s="568"/>
      <c r="AI43" s="568"/>
      <c r="AJ43" s="568"/>
      <c r="AK43" s="568"/>
      <c r="AL43" s="568"/>
      <c r="AM43" s="568"/>
      <c r="AN43" s="568"/>
      <c r="AO43" s="568"/>
      <c r="AP43" s="568"/>
      <c r="AQ43" s="568"/>
      <c r="AR43" s="568"/>
      <c r="AS43" s="568"/>
      <c r="AT43" s="568"/>
      <c r="AU43" s="568"/>
      <c r="AV43" s="568"/>
      <c r="AW43" s="568"/>
      <c r="AX43" s="568"/>
      <c r="AY43" s="568"/>
      <c r="AZ43" s="568"/>
      <c r="BA43" s="568"/>
      <c r="BB43" s="568"/>
      <c r="BC43" s="568"/>
      <c r="BD43" s="568"/>
      <c r="BE43" s="568"/>
      <c r="BF43" s="568"/>
      <c r="BG43" s="568"/>
      <c r="BH43" s="568"/>
      <c r="BI43" s="568"/>
      <c r="BJ43" s="568"/>
      <c r="BK43" s="728"/>
      <c r="BL43" s="728"/>
      <c r="BM43" s="728"/>
      <c r="BN43" s="728"/>
      <c r="BO43" s="728"/>
      <c r="BP43" s="728"/>
      <c r="BQ43" s="728"/>
      <c r="BR43" s="728"/>
      <c r="BS43" s="728"/>
      <c r="BT43" s="728"/>
      <c r="BU43" s="728"/>
      <c r="BV43" s="728"/>
      <c r="BW43" s="728"/>
      <c r="BX43" s="728"/>
      <c r="BY43" s="728"/>
      <c r="BZ43" s="728"/>
      <c r="CA43" s="728"/>
      <c r="CB43" s="728"/>
      <c r="CC43" s="728"/>
      <c r="CD43" s="728"/>
      <c r="CE43" s="728"/>
      <c r="CF43" s="728"/>
      <c r="CG43" s="728"/>
      <c r="CH43" s="728"/>
      <c r="CI43" s="728"/>
      <c r="CJ43" s="728"/>
      <c r="CK43" s="728"/>
      <c r="CL43" s="728"/>
      <c r="CM43" s="728"/>
      <c r="CN43" s="728"/>
      <c r="CO43" s="728"/>
      <c r="CP43" s="728"/>
      <c r="CQ43" s="728"/>
      <c r="CR43" s="728"/>
      <c r="CS43" s="728"/>
      <c r="CT43" s="728"/>
      <c r="CU43" s="728"/>
    </row>
    <row r="44" spans="1:99" s="720" customFormat="1">
      <c r="A44" s="726"/>
      <c r="B44" s="616"/>
      <c r="C44" s="616"/>
      <c r="D44" s="616"/>
      <c r="E44" s="616"/>
      <c r="F44" s="616"/>
      <c r="G44" s="616"/>
      <c r="H44" s="616"/>
      <c r="I44" s="616"/>
      <c r="J44" s="616"/>
      <c r="K44" s="616"/>
      <c r="L44" s="616"/>
      <c r="M44" s="616"/>
      <c r="N44" s="616"/>
      <c r="O44" s="616"/>
      <c r="P44" s="616"/>
      <c r="Q44" s="616"/>
      <c r="R44" s="616"/>
      <c r="S44" s="616"/>
      <c r="T44" s="616"/>
      <c r="U44" s="723"/>
      <c r="V44" s="568"/>
      <c r="W44" s="568"/>
      <c r="X44" s="568"/>
      <c r="Y44" s="568"/>
      <c r="Z44" s="568"/>
      <c r="AA44" s="568"/>
      <c r="AB44" s="568"/>
      <c r="AC44" s="568"/>
      <c r="AD44" s="568"/>
      <c r="AE44" s="568" t="s">
        <v>399</v>
      </c>
      <c r="AF44" s="568">
        <f ca="1">COUNTIF(B93:AB93,"&gt;"&amp;INDIRECT(AG44))</f>
        <v>1</v>
      </c>
      <c r="AG44" s="568" t="s">
        <v>398</v>
      </c>
      <c r="AH44" s="568"/>
      <c r="AI44" s="568"/>
      <c r="AJ44" s="568"/>
      <c r="AK44" s="568"/>
      <c r="AL44" s="568"/>
      <c r="AM44" s="568"/>
      <c r="AN44" s="568"/>
      <c r="AO44" s="568"/>
      <c r="AP44" s="568"/>
      <c r="AQ44" s="568"/>
      <c r="AR44" s="568"/>
      <c r="AS44" s="568"/>
      <c r="AT44" s="568"/>
      <c r="AU44" s="568"/>
      <c r="AV44" s="568"/>
      <c r="AW44" s="568"/>
      <c r="AX44" s="568"/>
      <c r="AY44" s="568"/>
      <c r="AZ44" s="568"/>
      <c r="BA44" s="568"/>
      <c r="BB44" s="568"/>
      <c r="BC44" s="568"/>
      <c r="BD44" s="568"/>
      <c r="BE44" s="568"/>
      <c r="BF44" s="568"/>
      <c r="BG44" s="568"/>
      <c r="BH44" s="568"/>
      <c r="BI44" s="568"/>
      <c r="BJ44" s="568"/>
      <c r="BK44" s="722"/>
      <c r="BL44" s="722"/>
      <c r="BM44" s="722"/>
      <c r="BN44" s="722"/>
      <c r="BO44" s="722"/>
      <c r="BP44" s="722"/>
      <c r="BQ44" s="722"/>
      <c r="BR44" s="722"/>
      <c r="BS44" s="722"/>
      <c r="BT44" s="722"/>
      <c r="BU44" s="722"/>
      <c r="BV44" s="721"/>
      <c r="BW44" s="721"/>
      <c r="BX44" s="721"/>
      <c r="BY44" s="721"/>
      <c r="BZ44" s="721"/>
      <c r="CA44" s="721"/>
      <c r="CB44" s="721"/>
      <c r="CC44" s="721"/>
      <c r="CD44" s="721"/>
      <c r="CE44" s="721"/>
      <c r="CF44" s="721"/>
      <c r="CG44" s="721"/>
      <c r="CH44" s="721"/>
      <c r="CI44" s="721"/>
      <c r="CJ44" s="721"/>
      <c r="CK44" s="721"/>
      <c r="CL44" s="721"/>
      <c r="CM44" s="721"/>
      <c r="CN44" s="721"/>
      <c r="CO44" s="721"/>
      <c r="CP44" s="721"/>
      <c r="CQ44" s="721"/>
      <c r="CR44" s="721"/>
      <c r="CS44" s="721"/>
      <c r="CT44" s="721"/>
      <c r="CU44" s="721"/>
    </row>
    <row r="45" spans="1:99" s="720" customFormat="1">
      <c r="A45" s="726"/>
      <c r="B45" s="616"/>
      <c r="C45" s="616"/>
      <c r="D45" s="616"/>
      <c r="E45" s="616"/>
      <c r="F45" s="616"/>
      <c r="G45" s="616"/>
      <c r="H45" s="616"/>
      <c r="I45" s="616"/>
      <c r="J45" s="616"/>
      <c r="K45" s="616"/>
      <c r="L45" s="616"/>
      <c r="M45" s="616"/>
      <c r="N45" s="616"/>
      <c r="O45" s="616"/>
      <c r="P45" s="616"/>
      <c r="Q45" s="616"/>
      <c r="R45" s="616"/>
      <c r="S45" s="616"/>
      <c r="T45" s="616"/>
      <c r="U45" s="723"/>
      <c r="V45" s="568"/>
      <c r="W45" s="568"/>
      <c r="X45" s="568"/>
      <c r="Y45" s="568"/>
      <c r="Z45" s="568"/>
      <c r="AA45" s="568"/>
      <c r="AB45" s="568"/>
      <c r="AC45" s="568"/>
      <c r="AD45" s="568"/>
      <c r="AE45" s="568" t="s">
        <v>397</v>
      </c>
      <c r="AF45" s="568">
        <f ca="1">COUNTIF(B93:AB93,"&lt;"&amp;INDIRECT(AG45))</f>
        <v>2</v>
      </c>
      <c r="AG45" s="568" t="s">
        <v>396</v>
      </c>
      <c r="AH45" s="568"/>
      <c r="AI45" s="568"/>
      <c r="AJ45" s="568"/>
      <c r="AK45" s="568"/>
      <c r="AL45" s="568"/>
      <c r="AM45" s="568"/>
      <c r="AN45" s="568"/>
      <c r="AO45" s="568"/>
      <c r="AP45" s="568"/>
      <c r="AQ45" s="568"/>
      <c r="AR45" s="568"/>
      <c r="AS45" s="568"/>
      <c r="AT45" s="568"/>
      <c r="AU45" s="568"/>
      <c r="AV45" s="568"/>
      <c r="AW45" s="568"/>
      <c r="AX45" s="568"/>
      <c r="AY45" s="568"/>
      <c r="AZ45" s="568"/>
      <c r="BA45" s="568"/>
      <c r="BB45" s="568"/>
      <c r="BC45" s="568"/>
      <c r="BD45" s="568"/>
      <c r="BE45" s="568"/>
      <c r="BF45" s="568"/>
      <c r="BG45" s="568"/>
      <c r="BH45" s="568"/>
      <c r="BI45" s="568"/>
      <c r="BJ45" s="568"/>
      <c r="BK45" s="722"/>
      <c r="BL45" s="722"/>
      <c r="BM45" s="722"/>
      <c r="BN45" s="722"/>
      <c r="BO45" s="722"/>
      <c r="BP45" s="722"/>
      <c r="BQ45" s="722"/>
      <c r="BR45" s="722"/>
      <c r="BS45" s="722"/>
      <c r="BT45" s="722"/>
      <c r="BU45" s="722"/>
      <c r="BV45" s="721"/>
      <c r="BW45" s="721"/>
      <c r="BX45" s="721"/>
      <c r="BY45" s="721"/>
      <c r="BZ45" s="721"/>
      <c r="CA45" s="721"/>
      <c r="CB45" s="721"/>
      <c r="CC45" s="721"/>
      <c r="CD45" s="721"/>
      <c r="CE45" s="721"/>
      <c r="CF45" s="721"/>
      <c r="CG45" s="721"/>
      <c r="CH45" s="721"/>
      <c r="CI45" s="721"/>
      <c r="CJ45" s="721"/>
      <c r="CK45" s="721"/>
      <c r="CL45" s="721"/>
      <c r="CM45" s="721"/>
      <c r="CN45" s="721"/>
      <c r="CO45" s="721"/>
      <c r="CP45" s="721"/>
      <c r="CQ45" s="721"/>
      <c r="CR45" s="721"/>
      <c r="CS45" s="721"/>
      <c r="CT45" s="721"/>
      <c r="CU45" s="721"/>
    </row>
    <row r="46" spans="1:99" s="720" customFormat="1">
      <c r="A46" s="726"/>
      <c r="B46" s="616"/>
      <c r="C46" s="616"/>
      <c r="D46" s="616"/>
      <c r="E46" s="616"/>
      <c r="F46" s="616"/>
      <c r="G46" s="616"/>
      <c r="H46" s="616"/>
      <c r="I46" s="616"/>
      <c r="J46" s="616"/>
      <c r="K46" s="616"/>
      <c r="L46" s="616"/>
      <c r="M46" s="616"/>
      <c r="N46" s="616"/>
      <c r="O46" s="616"/>
      <c r="P46" s="616"/>
      <c r="Q46" s="616"/>
      <c r="R46" s="616"/>
      <c r="S46" s="616"/>
      <c r="T46" s="616"/>
      <c r="U46" s="723"/>
      <c r="V46" s="568"/>
      <c r="W46" s="568"/>
      <c r="X46" s="568"/>
      <c r="Y46" s="568"/>
      <c r="Z46" s="568"/>
      <c r="AA46" s="568"/>
      <c r="AB46" s="568"/>
      <c r="AC46" s="568"/>
      <c r="AD46" s="568"/>
      <c r="AE46" s="568" t="s">
        <v>395</v>
      </c>
      <c r="AF46" s="568">
        <f ca="1">COUNTIF(B94:AB94,"&gt;"&amp;INDIRECT(AG46))</f>
        <v>1</v>
      </c>
      <c r="AG46" s="568" t="s">
        <v>394</v>
      </c>
      <c r="AH46" s="568"/>
      <c r="AI46" s="568"/>
      <c r="AJ46" s="568"/>
      <c r="AK46" s="568"/>
      <c r="AL46" s="568"/>
      <c r="AM46" s="568"/>
      <c r="AN46" s="568"/>
      <c r="AO46" s="568"/>
      <c r="AP46" s="568"/>
      <c r="AQ46" s="568"/>
      <c r="AR46" s="568"/>
      <c r="AS46" s="568"/>
      <c r="AT46" s="568"/>
      <c r="AU46" s="568"/>
      <c r="AV46" s="568"/>
      <c r="AW46" s="568"/>
      <c r="AX46" s="568"/>
      <c r="AY46" s="568"/>
      <c r="AZ46" s="568"/>
      <c r="BA46" s="568"/>
      <c r="BB46" s="568"/>
      <c r="BC46" s="568"/>
      <c r="BD46" s="568"/>
      <c r="BE46" s="568"/>
      <c r="BF46" s="568"/>
      <c r="BG46" s="568"/>
      <c r="BH46" s="568"/>
      <c r="BI46" s="568"/>
      <c r="BJ46" s="568"/>
      <c r="BK46" s="722"/>
      <c r="BL46" s="722"/>
      <c r="BM46" s="722"/>
      <c r="BN46" s="722"/>
      <c r="BO46" s="722"/>
      <c r="BP46" s="722"/>
      <c r="BQ46" s="722"/>
      <c r="BR46" s="722"/>
      <c r="BS46" s="722"/>
      <c r="BT46" s="722"/>
      <c r="BU46" s="722"/>
      <c r="BV46" s="721"/>
      <c r="BW46" s="721"/>
      <c r="BX46" s="721"/>
      <c r="BY46" s="721"/>
      <c r="BZ46" s="721"/>
      <c r="CA46" s="721"/>
      <c r="CB46" s="721"/>
      <c r="CC46" s="721"/>
      <c r="CD46" s="721"/>
      <c r="CE46" s="721"/>
      <c r="CF46" s="721"/>
      <c r="CG46" s="721"/>
      <c r="CH46" s="721"/>
      <c r="CI46" s="721"/>
      <c r="CJ46" s="721"/>
      <c r="CK46" s="721"/>
      <c r="CL46" s="721"/>
      <c r="CM46" s="721"/>
      <c r="CN46" s="721"/>
      <c r="CO46" s="721"/>
      <c r="CP46" s="721"/>
      <c r="CQ46" s="721"/>
      <c r="CR46" s="721"/>
      <c r="CS46" s="721"/>
      <c r="CT46" s="721"/>
      <c r="CU46" s="721"/>
    </row>
    <row r="47" spans="1:99" s="720" customFormat="1">
      <c r="A47" s="726"/>
      <c r="B47" s="616"/>
      <c r="C47" s="616"/>
      <c r="D47" s="616"/>
      <c r="E47" s="616"/>
      <c r="F47" s="616"/>
      <c r="G47" s="616"/>
      <c r="H47" s="616"/>
      <c r="I47" s="616"/>
      <c r="J47" s="616"/>
      <c r="K47" s="616"/>
      <c r="L47" s="616"/>
      <c r="M47" s="616"/>
      <c r="N47" s="616"/>
      <c r="O47" s="616"/>
      <c r="P47" s="616"/>
      <c r="Q47" s="616"/>
      <c r="R47" s="616"/>
      <c r="S47" s="616"/>
      <c r="T47" s="616"/>
      <c r="U47" s="723"/>
      <c r="V47" s="568"/>
      <c r="W47" s="568"/>
      <c r="X47" s="568"/>
      <c r="Y47" s="568"/>
      <c r="Z47" s="568"/>
      <c r="AA47" s="568"/>
      <c r="AB47" s="568"/>
      <c r="AC47" s="568"/>
      <c r="AD47" s="568"/>
      <c r="AE47" s="568" t="s">
        <v>393</v>
      </c>
      <c r="AF47" s="568">
        <f ca="1">COUNTIF(B94:AB94,"&lt;"&amp;INDIRECT(AG47))</f>
        <v>0</v>
      </c>
      <c r="AG47" s="568" t="s">
        <v>392</v>
      </c>
      <c r="AH47" s="568"/>
      <c r="AI47" s="568"/>
      <c r="AJ47" s="568"/>
      <c r="AK47" s="568"/>
      <c r="AL47" s="568"/>
      <c r="AM47" s="568"/>
      <c r="AN47" s="568"/>
      <c r="AO47" s="568"/>
      <c r="AP47" s="568"/>
      <c r="AQ47" s="568"/>
      <c r="AR47" s="568"/>
      <c r="AS47" s="568"/>
      <c r="AT47" s="568"/>
      <c r="AU47" s="568"/>
      <c r="AV47" s="568"/>
      <c r="AW47" s="568"/>
      <c r="AX47" s="568"/>
      <c r="AY47" s="568"/>
      <c r="AZ47" s="568"/>
      <c r="BA47" s="568"/>
      <c r="BB47" s="568"/>
      <c r="BC47" s="568"/>
      <c r="BD47" s="568"/>
      <c r="BE47" s="568"/>
      <c r="BF47" s="568"/>
      <c r="BG47" s="568"/>
      <c r="BH47" s="568"/>
      <c r="BI47" s="568"/>
      <c r="BJ47" s="568"/>
      <c r="BK47" s="722"/>
      <c r="BL47" s="722"/>
      <c r="BM47" s="722"/>
      <c r="BN47" s="722"/>
      <c r="BO47" s="722"/>
      <c r="BP47" s="722"/>
      <c r="BQ47" s="722"/>
      <c r="BR47" s="722"/>
      <c r="BS47" s="722"/>
      <c r="BT47" s="722"/>
      <c r="BU47" s="722"/>
      <c r="BV47" s="721"/>
      <c r="BW47" s="721"/>
      <c r="BX47" s="721"/>
      <c r="BY47" s="721"/>
      <c r="BZ47" s="721"/>
      <c r="CA47" s="721"/>
      <c r="CB47" s="721"/>
      <c r="CC47" s="721"/>
      <c r="CD47" s="721"/>
      <c r="CE47" s="721"/>
      <c r="CF47" s="721"/>
      <c r="CG47" s="721"/>
      <c r="CH47" s="721"/>
      <c r="CI47" s="721"/>
      <c r="CJ47" s="721"/>
      <c r="CK47" s="721"/>
      <c r="CL47" s="721"/>
      <c r="CM47" s="721"/>
      <c r="CN47" s="721"/>
      <c r="CO47" s="721"/>
      <c r="CP47" s="721"/>
      <c r="CQ47" s="721"/>
      <c r="CR47" s="721"/>
      <c r="CS47" s="721"/>
      <c r="CT47" s="721"/>
      <c r="CU47" s="721"/>
    </row>
    <row r="48" spans="1:99" s="720" customFormat="1">
      <c r="A48" s="726"/>
      <c r="B48" s="616"/>
      <c r="C48" s="616"/>
      <c r="D48" s="616"/>
      <c r="E48" s="616"/>
      <c r="F48" s="616"/>
      <c r="G48" s="616"/>
      <c r="H48" s="616"/>
      <c r="I48" s="616"/>
      <c r="J48" s="616"/>
      <c r="K48" s="616"/>
      <c r="L48" s="616"/>
      <c r="M48" s="616"/>
      <c r="N48" s="616"/>
      <c r="O48" s="616"/>
      <c r="P48" s="616"/>
      <c r="Q48" s="616"/>
      <c r="R48" s="616"/>
      <c r="S48" s="616"/>
      <c r="T48" s="616"/>
      <c r="U48" s="723"/>
      <c r="V48" s="568"/>
      <c r="W48" s="568"/>
      <c r="X48" s="568"/>
      <c r="Y48" s="568"/>
      <c r="Z48" s="568"/>
      <c r="AA48" s="568"/>
      <c r="AB48" s="568"/>
      <c r="AC48" s="568"/>
      <c r="AD48" s="568"/>
      <c r="AE48" s="568"/>
      <c r="AF48" s="568"/>
      <c r="AG48" s="568"/>
      <c r="AH48" s="568"/>
      <c r="AI48" s="568"/>
      <c r="AJ48" s="568"/>
      <c r="AK48" s="568"/>
      <c r="AL48" s="568"/>
      <c r="AM48" s="568"/>
      <c r="AN48" s="568"/>
      <c r="AO48" s="568"/>
      <c r="AP48" s="568"/>
      <c r="AQ48" s="568"/>
      <c r="AR48" s="568"/>
      <c r="AS48" s="568"/>
      <c r="AT48" s="568"/>
      <c r="AU48" s="568"/>
      <c r="AV48" s="568"/>
      <c r="AW48" s="568"/>
      <c r="AX48" s="568"/>
      <c r="AY48" s="568"/>
      <c r="AZ48" s="568"/>
      <c r="BA48" s="568"/>
      <c r="BB48" s="568"/>
      <c r="BC48" s="568"/>
      <c r="BD48" s="568"/>
      <c r="BE48" s="568"/>
      <c r="BF48" s="568"/>
      <c r="BG48" s="568"/>
      <c r="BH48" s="568"/>
      <c r="BI48" s="568"/>
      <c r="BJ48" s="568"/>
      <c r="BK48" s="722"/>
      <c r="BL48" s="722"/>
      <c r="BM48" s="722"/>
      <c r="BN48" s="722"/>
      <c r="BO48" s="722"/>
      <c r="BP48" s="722"/>
      <c r="BQ48" s="722"/>
      <c r="BR48" s="722"/>
      <c r="BS48" s="722"/>
      <c r="BT48" s="722"/>
      <c r="BU48" s="722"/>
      <c r="BV48" s="721"/>
      <c r="BW48" s="721"/>
      <c r="BX48" s="721"/>
      <c r="BY48" s="721"/>
      <c r="BZ48" s="721"/>
      <c r="CA48" s="721"/>
      <c r="CB48" s="721"/>
      <c r="CC48" s="721"/>
      <c r="CD48" s="721"/>
      <c r="CE48" s="721"/>
      <c r="CF48" s="721"/>
      <c r="CG48" s="721"/>
      <c r="CH48" s="721"/>
      <c r="CI48" s="721"/>
      <c r="CJ48" s="721"/>
      <c r="CK48" s="721"/>
      <c r="CL48" s="721"/>
      <c r="CM48" s="721"/>
      <c r="CN48" s="721"/>
      <c r="CO48" s="721"/>
      <c r="CP48" s="721"/>
      <c r="CQ48" s="721"/>
      <c r="CR48" s="721"/>
      <c r="CS48" s="721"/>
      <c r="CT48" s="721"/>
      <c r="CU48" s="721"/>
    </row>
    <row r="49" spans="1:99" s="720" customFormat="1">
      <c r="A49" s="726"/>
      <c r="B49" s="616"/>
      <c r="C49" s="616"/>
      <c r="D49" s="616"/>
      <c r="E49" s="616"/>
      <c r="F49" s="616"/>
      <c r="G49" s="616"/>
      <c r="H49" s="616"/>
      <c r="I49" s="616"/>
      <c r="J49" s="616"/>
      <c r="K49" s="616"/>
      <c r="L49" s="616"/>
      <c r="M49" s="616"/>
      <c r="N49" s="616"/>
      <c r="O49" s="616"/>
      <c r="P49" s="616"/>
      <c r="Q49" s="616"/>
      <c r="R49" s="616"/>
      <c r="S49" s="616"/>
      <c r="T49" s="616"/>
      <c r="U49" s="723"/>
      <c r="V49" s="568"/>
      <c r="W49" s="568"/>
      <c r="X49" s="568"/>
      <c r="Y49" s="568"/>
      <c r="Z49" s="568"/>
      <c r="AA49" s="568"/>
      <c r="AB49" s="568"/>
      <c r="AC49" s="568"/>
      <c r="AD49" s="568"/>
      <c r="AE49" s="568" t="s">
        <v>391</v>
      </c>
      <c r="AF49" s="568">
        <f t="shared" ref="AF49:AY49" si="23">IF(SUM(B83:B87)=0,"",IF(B93&gt;$AG$16,1,0))</f>
        <v>0</v>
      </c>
      <c r="AG49" s="568">
        <f t="shared" si="23"/>
        <v>1</v>
      </c>
      <c r="AH49" s="568">
        <f t="shared" si="23"/>
        <v>1</v>
      </c>
      <c r="AI49" s="568">
        <f t="shared" si="23"/>
        <v>1</v>
      </c>
      <c r="AJ49" s="568">
        <f t="shared" si="23"/>
        <v>0</v>
      </c>
      <c r="AK49" s="568">
        <f t="shared" si="23"/>
        <v>0</v>
      </c>
      <c r="AL49" s="568">
        <f t="shared" si="23"/>
        <v>1</v>
      </c>
      <c r="AM49" s="568">
        <f t="shared" si="23"/>
        <v>1</v>
      </c>
      <c r="AN49" s="568">
        <f t="shared" si="23"/>
        <v>0</v>
      </c>
      <c r="AO49" s="568">
        <f t="shared" si="23"/>
        <v>0</v>
      </c>
      <c r="AP49" s="568" t="str">
        <f t="shared" si="23"/>
        <v/>
      </c>
      <c r="AQ49" s="568" t="str">
        <f t="shared" si="23"/>
        <v/>
      </c>
      <c r="AR49" s="568" t="str">
        <f t="shared" si="23"/>
        <v/>
      </c>
      <c r="AS49" s="568" t="str">
        <f t="shared" si="23"/>
        <v/>
      </c>
      <c r="AT49" s="568" t="str">
        <f t="shared" si="23"/>
        <v/>
      </c>
      <c r="AU49" s="568" t="str">
        <f t="shared" si="23"/>
        <v/>
      </c>
      <c r="AV49" s="568" t="str">
        <f t="shared" si="23"/>
        <v/>
      </c>
      <c r="AW49" s="568" t="str">
        <f t="shared" si="23"/>
        <v/>
      </c>
      <c r="AX49" s="568" t="str">
        <f t="shared" si="23"/>
        <v/>
      </c>
      <c r="AY49" s="568" t="str">
        <f t="shared" si="23"/>
        <v/>
      </c>
      <c r="AZ49" s="568" t="str">
        <f>IF(SUM(B96:B100)=0,"",IF(B106&gt;$AG$16,1,0))</f>
        <v/>
      </c>
      <c r="BA49" s="568" t="str">
        <f>IF(SUM(C96:C100)=0,"",IF(C106&gt;$AG$16,1,0))</f>
        <v/>
      </c>
      <c r="BB49" s="568" t="str">
        <f>IF(SUM(D96:D100)=0,"",IF(D106&gt;$AG$16,1,0))</f>
        <v/>
      </c>
      <c r="BC49" s="568" t="str">
        <f>IF(SUM(E96:E100)=0,"",IF(E106&gt;$AG$16,1,0))</f>
        <v/>
      </c>
      <c r="BD49" s="568" t="str">
        <f>IF(SUM(F96:F100)=0,"",IF(F106&gt;$AG$16,1,0))</f>
        <v/>
      </c>
      <c r="BE49" s="568"/>
      <c r="BF49" s="568"/>
      <c r="BG49" s="568"/>
      <c r="BH49" s="568"/>
      <c r="BI49" s="568"/>
      <c r="BJ49" s="568"/>
      <c r="BK49" s="722"/>
      <c r="BL49" s="722"/>
      <c r="BM49" s="722"/>
      <c r="BN49" s="722"/>
      <c r="BO49" s="722"/>
      <c r="BP49" s="722"/>
      <c r="BQ49" s="722"/>
      <c r="BR49" s="722"/>
      <c r="BS49" s="722"/>
      <c r="BT49" s="722"/>
      <c r="BU49" s="722"/>
      <c r="BV49" s="721"/>
      <c r="BW49" s="721"/>
      <c r="BX49" s="721"/>
      <c r="BY49" s="721"/>
      <c r="BZ49" s="721"/>
      <c r="CA49" s="721"/>
      <c r="CB49" s="721"/>
      <c r="CC49" s="721"/>
      <c r="CD49" s="721"/>
      <c r="CE49" s="721"/>
      <c r="CF49" s="721"/>
      <c r="CG49" s="721"/>
      <c r="CH49" s="721"/>
      <c r="CI49" s="721"/>
      <c r="CJ49" s="721"/>
      <c r="CK49" s="721"/>
      <c r="CL49" s="721"/>
      <c r="CM49" s="721"/>
      <c r="CN49" s="721"/>
      <c r="CO49" s="721"/>
      <c r="CP49" s="721"/>
      <c r="CQ49" s="721"/>
      <c r="CR49" s="721"/>
      <c r="CS49" s="721"/>
      <c r="CT49" s="721"/>
      <c r="CU49" s="721"/>
    </row>
    <row r="50" spans="1:99" s="720" customFormat="1">
      <c r="A50" s="726"/>
      <c r="B50" s="616"/>
      <c r="C50" s="616"/>
      <c r="D50" s="616"/>
      <c r="E50" s="616"/>
      <c r="F50" s="616"/>
      <c r="G50" s="616"/>
      <c r="H50" s="616"/>
      <c r="I50" s="616"/>
      <c r="J50" s="616"/>
      <c r="K50" s="616"/>
      <c r="L50" s="616"/>
      <c r="M50" s="616"/>
      <c r="N50" s="616"/>
      <c r="O50" s="616"/>
      <c r="P50" s="616"/>
      <c r="Q50" s="616"/>
      <c r="R50" s="616"/>
      <c r="S50" s="616"/>
      <c r="T50" s="616"/>
      <c r="U50" s="723"/>
      <c r="V50" s="568"/>
      <c r="W50" s="568"/>
      <c r="X50" s="568"/>
      <c r="Y50" s="568"/>
      <c r="Z50" s="568"/>
      <c r="AA50" s="568"/>
      <c r="AB50" s="568"/>
      <c r="AC50" s="568"/>
      <c r="AD50" s="568"/>
      <c r="AE50" s="568" t="s">
        <v>390</v>
      </c>
      <c r="AF50" s="568">
        <f t="shared" ref="AF50:AY50" si="24">IF(SUM(B83:B87)=0,"",IF(B93&lt;$AG$16,1,0))</f>
        <v>1</v>
      </c>
      <c r="AG50" s="568">
        <f t="shared" si="24"/>
        <v>0</v>
      </c>
      <c r="AH50" s="568">
        <f t="shared" si="24"/>
        <v>0</v>
      </c>
      <c r="AI50" s="568">
        <f t="shared" si="24"/>
        <v>0</v>
      </c>
      <c r="AJ50" s="568">
        <f t="shared" si="24"/>
        <v>1</v>
      </c>
      <c r="AK50" s="568">
        <f t="shared" si="24"/>
        <v>1</v>
      </c>
      <c r="AL50" s="568">
        <f t="shared" si="24"/>
        <v>0</v>
      </c>
      <c r="AM50" s="568">
        <f t="shared" si="24"/>
        <v>0</v>
      </c>
      <c r="AN50" s="568">
        <f t="shared" si="24"/>
        <v>1</v>
      </c>
      <c r="AO50" s="568">
        <f t="shared" si="24"/>
        <v>1</v>
      </c>
      <c r="AP50" s="568" t="str">
        <f t="shared" si="24"/>
        <v/>
      </c>
      <c r="AQ50" s="568" t="str">
        <f t="shared" si="24"/>
        <v/>
      </c>
      <c r="AR50" s="568" t="str">
        <f t="shared" si="24"/>
        <v/>
      </c>
      <c r="AS50" s="568" t="str">
        <f t="shared" si="24"/>
        <v/>
      </c>
      <c r="AT50" s="568" t="str">
        <f t="shared" si="24"/>
        <v/>
      </c>
      <c r="AU50" s="568" t="str">
        <f t="shared" si="24"/>
        <v/>
      </c>
      <c r="AV50" s="568" t="str">
        <f t="shared" si="24"/>
        <v/>
      </c>
      <c r="AW50" s="568" t="str">
        <f t="shared" si="24"/>
        <v/>
      </c>
      <c r="AX50" s="568" t="str">
        <f t="shared" si="24"/>
        <v/>
      </c>
      <c r="AY50" s="568" t="str">
        <f t="shared" si="24"/>
        <v/>
      </c>
      <c r="AZ50" s="568" t="str">
        <f>IF(SUM(B96:B100)=0,"",IF(B106&lt;$AG$16,1,0))</f>
        <v/>
      </c>
      <c r="BA50" s="568" t="str">
        <f>IF(SUM(C96:C100)=0,"",IF(C106&lt;$AG$16,1,0))</f>
        <v/>
      </c>
      <c r="BB50" s="568" t="str">
        <f>IF(SUM(D96:D100)=0,"",IF(D106&lt;$AG$16,1,0))</f>
        <v/>
      </c>
      <c r="BC50" s="568" t="str">
        <f>IF(SUM(E96:E100)=0,"",IF(E106&lt;$AG$16,1,0))</f>
        <v/>
      </c>
      <c r="BD50" s="568" t="str">
        <f>IF(SUM(F96:F100)=0,"",IF(F106&lt;$AG$16,1,0))</f>
        <v/>
      </c>
      <c r="BE50" s="568"/>
      <c r="BF50" s="568"/>
      <c r="BG50" s="568"/>
      <c r="BH50" s="568"/>
      <c r="BI50" s="568"/>
      <c r="BJ50" s="568"/>
      <c r="BK50" s="722"/>
      <c r="BL50" s="722"/>
      <c r="BM50" s="722"/>
      <c r="BN50" s="722"/>
      <c r="BO50" s="722"/>
      <c r="BP50" s="722"/>
      <c r="BQ50" s="722"/>
      <c r="BR50" s="722"/>
      <c r="BS50" s="722"/>
      <c r="BT50" s="722"/>
      <c r="BU50" s="722"/>
      <c r="BV50" s="721"/>
      <c r="BW50" s="721"/>
      <c r="BX50" s="721"/>
      <c r="BY50" s="721"/>
      <c r="BZ50" s="721"/>
      <c r="CA50" s="721"/>
      <c r="CB50" s="721"/>
      <c r="CC50" s="721"/>
      <c r="CD50" s="721"/>
      <c r="CE50" s="721"/>
      <c r="CF50" s="721"/>
      <c r="CG50" s="721"/>
      <c r="CH50" s="721"/>
      <c r="CI50" s="721"/>
      <c r="CJ50" s="721"/>
      <c r="CK50" s="721"/>
      <c r="CL50" s="721"/>
      <c r="CM50" s="721"/>
      <c r="CN50" s="721"/>
      <c r="CO50" s="721"/>
      <c r="CP50" s="721"/>
      <c r="CQ50" s="721"/>
      <c r="CR50" s="721"/>
      <c r="CS50" s="721"/>
      <c r="CT50" s="721"/>
      <c r="CU50" s="721"/>
    </row>
    <row r="51" spans="1:99" s="720" customFormat="1">
      <c r="A51" s="726"/>
      <c r="B51" s="616"/>
      <c r="C51" s="616"/>
      <c r="D51" s="616"/>
      <c r="E51" s="616"/>
      <c r="F51" s="616"/>
      <c r="G51" s="616"/>
      <c r="H51" s="616"/>
      <c r="I51" s="616"/>
      <c r="J51" s="616"/>
      <c r="K51" s="616"/>
      <c r="L51" s="616"/>
      <c r="M51" s="616"/>
      <c r="N51" s="616"/>
      <c r="O51" s="616"/>
      <c r="P51" s="616"/>
      <c r="Q51" s="616"/>
      <c r="R51" s="616"/>
      <c r="S51" s="616"/>
      <c r="T51" s="616"/>
      <c r="U51" s="723"/>
      <c r="V51" s="568"/>
      <c r="W51" s="568"/>
      <c r="X51" s="568"/>
      <c r="Y51" s="568"/>
      <c r="Z51" s="568"/>
      <c r="AA51" s="568"/>
      <c r="AB51" s="568"/>
      <c r="AC51" s="568"/>
      <c r="AD51" s="568"/>
      <c r="AE51" s="568" t="s">
        <v>389</v>
      </c>
      <c r="AF51" s="568">
        <f t="shared" ref="AF51:AY51" si="25">IF(SUM(B83:B87)=0,"",IF(B94&gt;$AG$18,1,0))</f>
        <v>1</v>
      </c>
      <c r="AG51" s="568">
        <f t="shared" si="25"/>
        <v>0</v>
      </c>
      <c r="AH51" s="568">
        <f t="shared" si="25"/>
        <v>0</v>
      </c>
      <c r="AI51" s="568">
        <f t="shared" si="25"/>
        <v>0</v>
      </c>
      <c r="AJ51" s="568">
        <f t="shared" si="25"/>
        <v>0</v>
      </c>
      <c r="AK51" s="568">
        <f t="shared" si="25"/>
        <v>1</v>
      </c>
      <c r="AL51" s="568">
        <f t="shared" si="25"/>
        <v>0</v>
      </c>
      <c r="AM51" s="568">
        <f t="shared" si="25"/>
        <v>0</v>
      </c>
      <c r="AN51" s="568">
        <f t="shared" si="25"/>
        <v>0</v>
      </c>
      <c r="AO51" s="568">
        <f t="shared" si="25"/>
        <v>0</v>
      </c>
      <c r="AP51" s="568" t="str">
        <f t="shared" si="25"/>
        <v/>
      </c>
      <c r="AQ51" s="568" t="str">
        <f t="shared" si="25"/>
        <v/>
      </c>
      <c r="AR51" s="568" t="str">
        <f t="shared" si="25"/>
        <v/>
      </c>
      <c r="AS51" s="568" t="str">
        <f t="shared" si="25"/>
        <v/>
      </c>
      <c r="AT51" s="568" t="str">
        <f t="shared" si="25"/>
        <v/>
      </c>
      <c r="AU51" s="568" t="str">
        <f t="shared" si="25"/>
        <v/>
      </c>
      <c r="AV51" s="568" t="str">
        <f t="shared" si="25"/>
        <v/>
      </c>
      <c r="AW51" s="568" t="str">
        <f t="shared" si="25"/>
        <v/>
      </c>
      <c r="AX51" s="568" t="str">
        <f t="shared" si="25"/>
        <v/>
      </c>
      <c r="AY51" s="568" t="str">
        <f t="shared" si="25"/>
        <v/>
      </c>
      <c r="AZ51" s="568" t="str">
        <f>IF(SUM(B96:B100)=0,"",IF(B107&gt;$AG$18,1,0))</f>
        <v/>
      </c>
      <c r="BA51" s="568" t="str">
        <f>IF(SUM(C96:C100)=0,"",IF(C107&gt;$AG$18,1,0))</f>
        <v/>
      </c>
      <c r="BB51" s="568" t="str">
        <f>IF(SUM(D96:D100)=0,"",IF(D107&gt;$AG$18,1,0))</f>
        <v/>
      </c>
      <c r="BC51" s="568" t="str">
        <f>IF(SUM(E96:E100)=0,"",IF(E107&gt;$AG$18,1,0))</f>
        <v/>
      </c>
      <c r="BD51" s="568" t="str">
        <f>IF(SUM(F96:F100)=0,"",IF(F107&gt;$AG$18,1,0))</f>
        <v/>
      </c>
      <c r="BE51" s="568"/>
      <c r="BF51" s="568"/>
      <c r="BG51" s="568"/>
      <c r="BH51" s="568"/>
      <c r="BI51" s="568"/>
      <c r="BJ51" s="568"/>
      <c r="BK51" s="722"/>
      <c r="BL51" s="722"/>
      <c r="BM51" s="722"/>
      <c r="BN51" s="722"/>
      <c r="BO51" s="722"/>
      <c r="BP51" s="722"/>
      <c r="BQ51" s="722"/>
      <c r="BR51" s="722"/>
      <c r="BS51" s="722"/>
      <c r="BT51" s="722"/>
      <c r="BU51" s="722"/>
      <c r="BV51" s="721"/>
      <c r="BW51" s="721"/>
      <c r="BX51" s="721"/>
      <c r="BY51" s="721"/>
      <c r="BZ51" s="721"/>
      <c r="CA51" s="721"/>
      <c r="CB51" s="721"/>
      <c r="CC51" s="721"/>
      <c r="CD51" s="721"/>
      <c r="CE51" s="721"/>
      <c r="CF51" s="721"/>
      <c r="CG51" s="721"/>
      <c r="CH51" s="721"/>
      <c r="CI51" s="721"/>
      <c r="CJ51" s="721"/>
      <c r="CK51" s="721"/>
      <c r="CL51" s="721"/>
      <c r="CM51" s="721"/>
      <c r="CN51" s="721"/>
      <c r="CO51" s="721"/>
      <c r="CP51" s="721"/>
      <c r="CQ51" s="721"/>
      <c r="CR51" s="721"/>
      <c r="CS51" s="721"/>
      <c r="CT51" s="721"/>
      <c r="CU51" s="721"/>
    </row>
    <row r="52" spans="1:99" s="720" customFormat="1">
      <c r="A52" s="726"/>
      <c r="B52" s="616"/>
      <c r="C52" s="616"/>
      <c r="D52" s="616"/>
      <c r="E52" s="616"/>
      <c r="F52" s="616"/>
      <c r="G52" s="616"/>
      <c r="H52" s="616"/>
      <c r="I52" s="616"/>
      <c r="J52" s="616"/>
      <c r="K52" s="616"/>
      <c r="L52" s="616"/>
      <c r="M52" s="616"/>
      <c r="N52" s="616"/>
      <c r="O52" s="616"/>
      <c r="P52" s="616"/>
      <c r="Q52" s="616"/>
      <c r="R52" s="616"/>
      <c r="S52" s="616"/>
      <c r="T52" s="616"/>
      <c r="U52" s="723"/>
      <c r="V52" s="568"/>
      <c r="W52" s="568"/>
      <c r="X52" s="568"/>
      <c r="Y52" s="568"/>
      <c r="Z52" s="568"/>
      <c r="AA52" s="568"/>
      <c r="AB52" s="568"/>
      <c r="AC52" s="568"/>
      <c r="AD52" s="568"/>
      <c r="AE52" s="568" t="s">
        <v>388</v>
      </c>
      <c r="AF52" s="568">
        <f t="shared" ref="AF52:AY52" si="26">IF(SUM(B83:B87)=0,"",IF(B94&lt;$AG$18,1,0))</f>
        <v>0</v>
      </c>
      <c r="AG52" s="568">
        <f t="shared" si="26"/>
        <v>1</v>
      </c>
      <c r="AH52" s="568">
        <f t="shared" si="26"/>
        <v>1</v>
      </c>
      <c r="AI52" s="568">
        <f t="shared" si="26"/>
        <v>1</v>
      </c>
      <c r="AJ52" s="568">
        <f t="shared" si="26"/>
        <v>1</v>
      </c>
      <c r="AK52" s="568">
        <f t="shared" si="26"/>
        <v>0</v>
      </c>
      <c r="AL52" s="568">
        <f t="shared" si="26"/>
        <v>1</v>
      </c>
      <c r="AM52" s="568">
        <f t="shared" si="26"/>
        <v>1</v>
      </c>
      <c r="AN52" s="568">
        <f t="shared" si="26"/>
        <v>1</v>
      </c>
      <c r="AO52" s="568">
        <f t="shared" si="26"/>
        <v>1</v>
      </c>
      <c r="AP52" s="568" t="str">
        <f t="shared" si="26"/>
        <v/>
      </c>
      <c r="AQ52" s="568" t="str">
        <f t="shared" si="26"/>
        <v/>
      </c>
      <c r="AR52" s="568" t="str">
        <f t="shared" si="26"/>
        <v/>
      </c>
      <c r="AS52" s="568" t="str">
        <f t="shared" si="26"/>
        <v/>
      </c>
      <c r="AT52" s="568" t="str">
        <f t="shared" si="26"/>
        <v/>
      </c>
      <c r="AU52" s="568" t="str">
        <f t="shared" si="26"/>
        <v/>
      </c>
      <c r="AV52" s="568" t="str">
        <f t="shared" si="26"/>
        <v/>
      </c>
      <c r="AW52" s="568" t="str">
        <f t="shared" si="26"/>
        <v/>
      </c>
      <c r="AX52" s="568" t="str">
        <f t="shared" si="26"/>
        <v/>
      </c>
      <c r="AY52" s="568" t="str">
        <f t="shared" si="26"/>
        <v/>
      </c>
      <c r="AZ52" s="568" t="str">
        <f>IF(SUM(B96:B100)=0,"",IF(B107&lt;$AG$18,1,0))</f>
        <v/>
      </c>
      <c r="BA52" s="568" t="str">
        <f>IF(SUM(C96:C100)=0,"",IF(C107&lt;$AG$18,1,0))</f>
        <v/>
      </c>
      <c r="BB52" s="568" t="str">
        <f>IF(SUM(D96:D100)=0,"",IF(D107&lt;$AG$18,1,0))</f>
        <v/>
      </c>
      <c r="BC52" s="568" t="str">
        <f>IF(SUM(E96:E100)=0,"",IF(E107&lt;$AG$18,1,0))</f>
        <v/>
      </c>
      <c r="BD52" s="568" t="str">
        <f>IF(SUM(F96:F100)=0,"",IF(F107&lt;$AG$18,1,0))</f>
        <v/>
      </c>
      <c r="BE52" s="568"/>
      <c r="BF52" s="568"/>
      <c r="BG52" s="568"/>
      <c r="BH52" s="568"/>
      <c r="BI52" s="568"/>
      <c r="BJ52" s="568"/>
      <c r="BK52" s="722"/>
      <c r="BL52" s="722"/>
      <c r="BM52" s="722"/>
      <c r="BN52" s="722"/>
      <c r="BO52" s="722"/>
      <c r="BP52" s="722"/>
      <c r="BQ52" s="722"/>
      <c r="BR52" s="722"/>
      <c r="BS52" s="722"/>
      <c r="BT52" s="722"/>
      <c r="BU52" s="722"/>
      <c r="BV52" s="721"/>
      <c r="BW52" s="721"/>
      <c r="BX52" s="721"/>
      <c r="BY52" s="721"/>
      <c r="BZ52" s="721"/>
      <c r="CA52" s="721"/>
      <c r="CB52" s="721"/>
      <c r="CC52" s="721"/>
      <c r="CD52" s="721"/>
      <c r="CE52" s="721"/>
      <c r="CF52" s="721"/>
      <c r="CG52" s="721"/>
      <c r="CH52" s="721"/>
      <c r="CI52" s="721"/>
      <c r="CJ52" s="721"/>
      <c r="CK52" s="721"/>
      <c r="CL52" s="721"/>
      <c r="CM52" s="721"/>
      <c r="CN52" s="721"/>
      <c r="CO52" s="721"/>
      <c r="CP52" s="721"/>
      <c r="CQ52" s="721"/>
      <c r="CR52" s="721"/>
      <c r="CS52" s="721"/>
      <c r="CT52" s="721"/>
      <c r="CU52" s="721"/>
    </row>
    <row r="53" spans="1:99" s="720" customFormat="1">
      <c r="A53" s="726"/>
      <c r="B53" s="616"/>
      <c r="C53" s="616"/>
      <c r="D53" s="616"/>
      <c r="E53" s="616"/>
      <c r="F53" s="616"/>
      <c r="G53" s="616"/>
      <c r="H53" s="616"/>
      <c r="I53" s="616"/>
      <c r="J53" s="616"/>
      <c r="K53" s="616"/>
      <c r="L53" s="616"/>
      <c r="M53" s="616"/>
      <c r="N53" s="616"/>
      <c r="O53" s="616"/>
      <c r="P53" s="616"/>
      <c r="Q53" s="616"/>
      <c r="R53" s="616"/>
      <c r="S53" s="616"/>
      <c r="T53" s="616"/>
      <c r="U53" s="723"/>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722"/>
      <c r="BL53" s="722"/>
      <c r="BM53" s="722"/>
      <c r="BN53" s="722"/>
      <c r="BO53" s="722"/>
      <c r="BP53" s="722"/>
      <c r="BQ53" s="722"/>
      <c r="BR53" s="722"/>
      <c r="BS53" s="722"/>
      <c r="BT53" s="722"/>
      <c r="BU53" s="722"/>
      <c r="BV53" s="721"/>
      <c r="BW53" s="721"/>
      <c r="BX53" s="721"/>
      <c r="BY53" s="721"/>
      <c r="BZ53" s="721"/>
      <c r="CA53" s="721"/>
      <c r="CB53" s="721"/>
      <c r="CC53" s="721"/>
      <c r="CD53" s="721"/>
      <c r="CE53" s="721"/>
      <c r="CF53" s="721"/>
      <c r="CG53" s="721"/>
      <c r="CH53" s="721"/>
      <c r="CI53" s="721"/>
      <c r="CJ53" s="721"/>
      <c r="CK53" s="721"/>
      <c r="CL53" s="721"/>
      <c r="CM53" s="721"/>
      <c r="CN53" s="721"/>
      <c r="CO53" s="721"/>
      <c r="CP53" s="721"/>
      <c r="CQ53" s="721"/>
      <c r="CR53" s="721"/>
      <c r="CS53" s="721"/>
      <c r="CT53" s="721"/>
      <c r="CU53" s="721"/>
    </row>
    <row r="54" spans="1:99" s="720" customFormat="1">
      <c r="A54" s="725"/>
      <c r="B54" s="724"/>
      <c r="C54" s="724"/>
      <c r="D54" s="724"/>
      <c r="E54" s="724"/>
      <c r="F54" s="724"/>
      <c r="G54" s="724"/>
      <c r="H54" s="724"/>
      <c r="I54" s="724"/>
      <c r="J54" s="724"/>
      <c r="K54" s="724"/>
      <c r="L54" s="724"/>
      <c r="M54" s="724"/>
      <c r="N54" s="724"/>
      <c r="O54" s="724"/>
      <c r="P54" s="724"/>
      <c r="Q54" s="724"/>
      <c r="R54" s="724"/>
      <c r="S54" s="724"/>
      <c r="T54" s="724"/>
      <c r="U54" s="723"/>
      <c r="V54" s="568"/>
      <c r="W54" s="568"/>
      <c r="X54" s="568"/>
      <c r="Y54" s="568"/>
      <c r="Z54" s="568"/>
      <c r="AA54" s="568"/>
      <c r="AB54" s="568"/>
      <c r="AC54" s="568"/>
      <c r="AD54" s="568"/>
      <c r="AE54" s="568" t="s">
        <v>387</v>
      </c>
      <c r="AF54" s="568">
        <f>IF(AF49=1,1,0)</f>
        <v>0</v>
      </c>
      <c r="AG54" s="568">
        <f t="shared" ref="AG54:BD54" si="27">IF(AND(AG49=1,AF49=1),AF54+1,1)</f>
        <v>1</v>
      </c>
      <c r="AH54" s="568">
        <f t="shared" si="27"/>
        <v>2</v>
      </c>
      <c r="AI54" s="568">
        <f t="shared" si="27"/>
        <v>3</v>
      </c>
      <c r="AJ54" s="568">
        <f t="shared" si="27"/>
        <v>1</v>
      </c>
      <c r="AK54" s="568">
        <f t="shared" si="27"/>
        <v>1</v>
      </c>
      <c r="AL54" s="568">
        <f t="shared" si="27"/>
        <v>1</v>
      </c>
      <c r="AM54" s="568">
        <f t="shared" si="27"/>
        <v>2</v>
      </c>
      <c r="AN54" s="568">
        <f t="shared" si="27"/>
        <v>1</v>
      </c>
      <c r="AO54" s="568">
        <f t="shared" si="27"/>
        <v>1</v>
      </c>
      <c r="AP54" s="568">
        <f t="shared" si="27"/>
        <v>1</v>
      </c>
      <c r="AQ54" s="568">
        <f t="shared" si="27"/>
        <v>1</v>
      </c>
      <c r="AR54" s="568">
        <f t="shared" si="27"/>
        <v>1</v>
      </c>
      <c r="AS54" s="568">
        <f t="shared" si="27"/>
        <v>1</v>
      </c>
      <c r="AT54" s="568">
        <f t="shared" si="27"/>
        <v>1</v>
      </c>
      <c r="AU54" s="568">
        <f t="shared" si="27"/>
        <v>1</v>
      </c>
      <c r="AV54" s="568">
        <f t="shared" si="27"/>
        <v>1</v>
      </c>
      <c r="AW54" s="568">
        <f t="shared" si="27"/>
        <v>1</v>
      </c>
      <c r="AX54" s="568">
        <f t="shared" si="27"/>
        <v>1</v>
      </c>
      <c r="AY54" s="568">
        <f t="shared" si="27"/>
        <v>1</v>
      </c>
      <c r="AZ54" s="568">
        <f t="shared" si="27"/>
        <v>1</v>
      </c>
      <c r="BA54" s="568">
        <f t="shared" si="27"/>
        <v>1</v>
      </c>
      <c r="BB54" s="568">
        <f t="shared" si="27"/>
        <v>1</v>
      </c>
      <c r="BC54" s="568">
        <f t="shared" si="27"/>
        <v>1</v>
      </c>
      <c r="BD54" s="568">
        <f t="shared" si="27"/>
        <v>1</v>
      </c>
      <c r="BE54" s="568"/>
      <c r="BF54" s="568"/>
      <c r="BG54" s="568"/>
      <c r="BH54" s="568"/>
      <c r="BI54" s="568"/>
      <c r="BJ54" s="568"/>
      <c r="BK54" s="722"/>
      <c r="BL54" s="722"/>
      <c r="BM54" s="722"/>
      <c r="BN54" s="722"/>
      <c r="BO54" s="722"/>
      <c r="BP54" s="722"/>
      <c r="BQ54" s="722"/>
      <c r="BR54" s="722"/>
      <c r="BS54" s="722"/>
      <c r="BT54" s="722"/>
      <c r="BU54" s="722"/>
      <c r="BV54" s="721"/>
      <c r="BW54" s="721"/>
      <c r="BX54" s="721"/>
      <c r="BY54" s="721"/>
      <c r="BZ54" s="721"/>
      <c r="CA54" s="721"/>
      <c r="CB54" s="721"/>
      <c r="CC54" s="721"/>
      <c r="CD54" s="721"/>
      <c r="CE54" s="721"/>
      <c r="CF54" s="721"/>
      <c r="CG54" s="721"/>
      <c r="CH54" s="721"/>
      <c r="CI54" s="721"/>
      <c r="CJ54" s="721"/>
      <c r="CK54" s="721"/>
      <c r="CL54" s="721"/>
      <c r="CM54" s="721"/>
      <c r="CN54" s="721"/>
      <c r="CO54" s="721"/>
      <c r="CP54" s="721"/>
      <c r="CQ54" s="721"/>
      <c r="CR54" s="721"/>
      <c r="CS54" s="721"/>
      <c r="CT54" s="721"/>
      <c r="CU54" s="721"/>
    </row>
    <row r="55" spans="1:99" s="720" customFormat="1" ht="13.5" thickBot="1">
      <c r="A55" s="723"/>
      <c r="B55" s="723"/>
      <c r="C55" s="723"/>
      <c r="D55" s="723"/>
      <c r="E55" s="723"/>
      <c r="F55" s="723"/>
      <c r="G55" s="723"/>
      <c r="H55" s="723"/>
      <c r="I55" s="723"/>
      <c r="J55" s="723"/>
      <c r="K55" s="723"/>
      <c r="L55" s="723"/>
      <c r="M55" s="723"/>
      <c r="N55" s="723"/>
      <c r="O55" s="723"/>
      <c r="P55" s="723"/>
      <c r="Q55" s="723"/>
      <c r="R55" s="723"/>
      <c r="S55" s="723"/>
      <c r="T55" s="723"/>
      <c r="U55" s="723"/>
      <c r="V55" s="568"/>
      <c r="W55" s="568"/>
      <c r="X55" s="568"/>
      <c r="Y55" s="568"/>
      <c r="Z55" s="568"/>
      <c r="AA55" s="568"/>
      <c r="AB55" s="568"/>
      <c r="AC55" s="568"/>
      <c r="AD55" s="568"/>
      <c r="AE55" s="568" t="s">
        <v>386</v>
      </c>
      <c r="AF55" s="568">
        <f>IF(AF50=1,1,0)</f>
        <v>1</v>
      </c>
      <c r="AG55" s="568">
        <f t="shared" ref="AG55:BD55" si="28">IF(AND(AG50=1,AF50=1),AF55+1,1)</f>
        <v>1</v>
      </c>
      <c r="AH55" s="568">
        <f t="shared" si="28"/>
        <v>1</v>
      </c>
      <c r="AI55" s="568">
        <f t="shared" si="28"/>
        <v>1</v>
      </c>
      <c r="AJ55" s="568">
        <f t="shared" si="28"/>
        <v>1</v>
      </c>
      <c r="AK55" s="568">
        <f t="shared" si="28"/>
        <v>2</v>
      </c>
      <c r="AL55" s="568">
        <f t="shared" si="28"/>
        <v>1</v>
      </c>
      <c r="AM55" s="568">
        <f t="shared" si="28"/>
        <v>1</v>
      </c>
      <c r="AN55" s="568">
        <f t="shared" si="28"/>
        <v>1</v>
      </c>
      <c r="AO55" s="568">
        <f t="shared" si="28"/>
        <v>2</v>
      </c>
      <c r="AP55" s="568">
        <f t="shared" si="28"/>
        <v>1</v>
      </c>
      <c r="AQ55" s="568">
        <f t="shared" si="28"/>
        <v>1</v>
      </c>
      <c r="AR55" s="568">
        <f t="shared" si="28"/>
        <v>1</v>
      </c>
      <c r="AS55" s="568">
        <f t="shared" si="28"/>
        <v>1</v>
      </c>
      <c r="AT55" s="568">
        <f t="shared" si="28"/>
        <v>1</v>
      </c>
      <c r="AU55" s="568">
        <f t="shared" si="28"/>
        <v>1</v>
      </c>
      <c r="AV55" s="568">
        <f t="shared" si="28"/>
        <v>1</v>
      </c>
      <c r="AW55" s="568">
        <f t="shared" si="28"/>
        <v>1</v>
      </c>
      <c r="AX55" s="568">
        <f t="shared" si="28"/>
        <v>1</v>
      </c>
      <c r="AY55" s="568">
        <f t="shared" si="28"/>
        <v>1</v>
      </c>
      <c r="AZ55" s="568">
        <f t="shared" si="28"/>
        <v>1</v>
      </c>
      <c r="BA55" s="568">
        <f t="shared" si="28"/>
        <v>1</v>
      </c>
      <c r="BB55" s="568">
        <f t="shared" si="28"/>
        <v>1</v>
      </c>
      <c r="BC55" s="568">
        <f t="shared" si="28"/>
        <v>1</v>
      </c>
      <c r="BD55" s="568">
        <f t="shared" si="28"/>
        <v>1</v>
      </c>
      <c r="BE55" s="568"/>
      <c r="BF55" s="568"/>
      <c r="BG55" s="568"/>
      <c r="BH55" s="568"/>
      <c r="BI55" s="568"/>
      <c r="BJ55" s="568"/>
      <c r="BK55" s="722"/>
      <c r="BL55" s="722"/>
      <c r="BM55" s="722"/>
      <c r="BN55" s="722"/>
      <c r="BO55" s="722"/>
      <c r="BP55" s="722"/>
      <c r="BQ55" s="722"/>
      <c r="BR55" s="722"/>
      <c r="BS55" s="722"/>
      <c r="BT55" s="722"/>
      <c r="BU55" s="722"/>
      <c r="BV55" s="721"/>
      <c r="BW55" s="721"/>
      <c r="BX55" s="721"/>
      <c r="BY55" s="721"/>
      <c r="BZ55" s="721"/>
      <c r="CA55" s="721"/>
      <c r="CB55" s="721"/>
      <c r="CC55" s="721"/>
      <c r="CD55" s="721"/>
      <c r="CE55" s="721"/>
      <c r="CF55" s="721"/>
      <c r="CG55" s="721"/>
      <c r="CH55" s="721"/>
      <c r="CI55" s="721"/>
      <c r="CJ55" s="721"/>
      <c r="CK55" s="721"/>
      <c r="CL55" s="721"/>
      <c r="CM55" s="721"/>
      <c r="CN55" s="721"/>
      <c r="CO55" s="721"/>
      <c r="CP55" s="721"/>
      <c r="CQ55" s="721"/>
      <c r="CR55" s="721"/>
      <c r="CS55" s="721"/>
      <c r="CT55" s="721"/>
      <c r="CU55" s="721"/>
    </row>
    <row r="56" spans="1:99" ht="13.5" thickBot="1">
      <c r="A56" s="694"/>
      <c r="B56" s="693"/>
      <c r="C56" s="719" t="s">
        <v>385</v>
      </c>
      <c r="D56" s="718" t="str">
        <f>D5</f>
        <v>механообрабатывающий №2</v>
      </c>
      <c r="E56" s="715"/>
      <c r="F56" s="715"/>
      <c r="G56" s="715"/>
      <c r="H56" s="715"/>
      <c r="I56" s="715"/>
      <c r="J56" s="717" t="s">
        <v>384</v>
      </c>
      <c r="K56" s="716" t="str">
        <f>K5</f>
        <v>21/200</v>
      </c>
      <c r="L56" s="715"/>
      <c r="M56" s="714" t="s">
        <v>383</v>
      </c>
      <c r="N56" s="713">
        <f>N5</f>
        <v>43405</v>
      </c>
      <c r="O56" s="712"/>
      <c r="P56" s="711" t="s">
        <v>382</v>
      </c>
      <c r="Q56" s="710"/>
      <c r="R56" s="709"/>
      <c r="S56" s="709"/>
      <c r="T56" s="708" t="s">
        <v>381</v>
      </c>
      <c r="U56" s="707"/>
      <c r="AE56" s="568" t="s">
        <v>380</v>
      </c>
      <c r="AF56" s="568">
        <f>IF(AF51=1,1,0)</f>
        <v>1</v>
      </c>
      <c r="AG56" s="568">
        <f t="shared" ref="AG56:BD56" si="29">IF(AND(AG51=1,AF51=1),AF56+1,1)</f>
        <v>1</v>
      </c>
      <c r="AH56" s="568">
        <f t="shared" si="29"/>
        <v>1</v>
      </c>
      <c r="AI56" s="568">
        <f t="shared" si="29"/>
        <v>1</v>
      </c>
      <c r="AJ56" s="568">
        <f t="shared" si="29"/>
        <v>1</v>
      </c>
      <c r="AK56" s="568">
        <f t="shared" si="29"/>
        <v>1</v>
      </c>
      <c r="AL56" s="568">
        <f t="shared" si="29"/>
        <v>1</v>
      </c>
      <c r="AM56" s="568">
        <f t="shared" si="29"/>
        <v>1</v>
      </c>
      <c r="AN56" s="568">
        <f t="shared" si="29"/>
        <v>1</v>
      </c>
      <c r="AO56" s="568">
        <f t="shared" si="29"/>
        <v>1</v>
      </c>
      <c r="AP56" s="568">
        <f t="shared" si="29"/>
        <v>1</v>
      </c>
      <c r="AQ56" s="568">
        <f t="shared" si="29"/>
        <v>1</v>
      </c>
      <c r="AR56" s="568">
        <f t="shared" si="29"/>
        <v>1</v>
      </c>
      <c r="AS56" s="568">
        <f t="shared" si="29"/>
        <v>1</v>
      </c>
      <c r="AT56" s="568">
        <f t="shared" si="29"/>
        <v>1</v>
      </c>
      <c r="AU56" s="568">
        <f t="shared" si="29"/>
        <v>1</v>
      </c>
      <c r="AV56" s="568">
        <f t="shared" si="29"/>
        <v>1</v>
      </c>
      <c r="AW56" s="568">
        <f t="shared" si="29"/>
        <v>1</v>
      </c>
      <c r="AX56" s="568">
        <f t="shared" si="29"/>
        <v>1</v>
      </c>
      <c r="AY56" s="568">
        <f t="shared" si="29"/>
        <v>1</v>
      </c>
      <c r="AZ56" s="568">
        <f t="shared" si="29"/>
        <v>1</v>
      </c>
      <c r="BA56" s="568">
        <f t="shared" si="29"/>
        <v>1</v>
      </c>
      <c r="BB56" s="568">
        <f t="shared" si="29"/>
        <v>1</v>
      </c>
      <c r="BC56" s="568">
        <f t="shared" si="29"/>
        <v>1</v>
      </c>
      <c r="BD56" s="568">
        <f t="shared" si="29"/>
        <v>1</v>
      </c>
    </row>
    <row r="57" spans="1:99">
      <c r="A57" s="687" t="s">
        <v>379</v>
      </c>
      <c r="B57" s="706"/>
      <c r="C57" s="692" t="s">
        <v>378</v>
      </c>
      <c r="D57" s="684"/>
      <c r="E57" s="682" t="str">
        <f>E6</f>
        <v>999-3502004</v>
      </c>
      <c r="F57" s="682"/>
      <c r="G57" s="682"/>
      <c r="H57" s="705"/>
      <c r="I57" s="683" t="s">
        <v>377</v>
      </c>
      <c r="J57" s="704"/>
      <c r="K57" s="683" t="str">
        <f>K6</f>
        <v>Double Sided Tape 850*10*2мм, фингер-т 999-3502004</v>
      </c>
      <c r="L57" s="681"/>
      <c r="M57" s="681"/>
      <c r="N57" s="682"/>
      <c r="O57" s="703"/>
      <c r="P57" s="702" t="s">
        <v>376</v>
      </c>
      <c r="Q57" s="701"/>
      <c r="R57" s="700"/>
      <c r="S57" s="700"/>
      <c r="T57" s="699">
        <f>IF(COUNT(B83:Z92)&lt;&gt;0,COUNT(B83:Z92),"")</f>
        <v>40</v>
      </c>
      <c r="U57" s="698"/>
      <c r="AE57" s="568" t="s">
        <v>375</v>
      </c>
      <c r="AF57" s="568">
        <f>IF(AF52=1,1,0)</f>
        <v>0</v>
      </c>
      <c r="AG57" s="568">
        <f t="shared" ref="AG57:BD57" si="30">IF(AND(AG52=1,AF52=1),AF57+1,1)</f>
        <v>1</v>
      </c>
      <c r="AH57" s="568">
        <f t="shared" si="30"/>
        <v>2</v>
      </c>
      <c r="AI57" s="568">
        <f t="shared" si="30"/>
        <v>3</v>
      </c>
      <c r="AJ57" s="568">
        <f t="shared" si="30"/>
        <v>4</v>
      </c>
      <c r="AK57" s="568">
        <f t="shared" si="30"/>
        <v>1</v>
      </c>
      <c r="AL57" s="568">
        <f t="shared" si="30"/>
        <v>1</v>
      </c>
      <c r="AM57" s="568">
        <f t="shared" si="30"/>
        <v>2</v>
      </c>
      <c r="AN57" s="568">
        <f t="shared" si="30"/>
        <v>3</v>
      </c>
      <c r="AO57" s="568">
        <f t="shared" si="30"/>
        <v>4</v>
      </c>
      <c r="AP57" s="568">
        <f t="shared" si="30"/>
        <v>1</v>
      </c>
      <c r="AQ57" s="568">
        <f t="shared" si="30"/>
        <v>1</v>
      </c>
      <c r="AR57" s="568">
        <f t="shared" si="30"/>
        <v>1</v>
      </c>
      <c r="AS57" s="568">
        <f t="shared" si="30"/>
        <v>1</v>
      </c>
      <c r="AT57" s="568">
        <f t="shared" si="30"/>
        <v>1</v>
      </c>
      <c r="AU57" s="568">
        <f t="shared" si="30"/>
        <v>1</v>
      </c>
      <c r="AV57" s="568">
        <f t="shared" si="30"/>
        <v>1</v>
      </c>
      <c r="AW57" s="568">
        <f t="shared" si="30"/>
        <v>1</v>
      </c>
      <c r="AX57" s="568">
        <f t="shared" si="30"/>
        <v>1</v>
      </c>
      <c r="AY57" s="568">
        <f t="shared" si="30"/>
        <v>1</v>
      </c>
      <c r="AZ57" s="568">
        <f t="shared" si="30"/>
        <v>1</v>
      </c>
      <c r="BA57" s="568">
        <f t="shared" si="30"/>
        <v>1</v>
      </c>
      <c r="BB57" s="568">
        <f t="shared" si="30"/>
        <v>1</v>
      </c>
      <c r="BC57" s="568">
        <f t="shared" si="30"/>
        <v>1</v>
      </c>
      <c r="BD57" s="568">
        <f t="shared" si="30"/>
        <v>1</v>
      </c>
    </row>
    <row r="58" spans="1:99" ht="13.5" thickBot="1">
      <c r="A58" s="697"/>
      <c r="B58" s="696"/>
      <c r="C58" s="692" t="s">
        <v>374</v>
      </c>
      <c r="D58" s="684"/>
      <c r="E58" s="683" t="str">
        <f>E7</f>
        <v>999-3502004</v>
      </c>
      <c r="F58" s="681"/>
      <c r="G58" s="681"/>
      <c r="H58" s="680"/>
      <c r="I58" s="683"/>
      <c r="J58" s="689"/>
      <c r="K58" s="683">
        <f>K7</f>
        <v>0</v>
      </c>
      <c r="L58" s="682"/>
      <c r="M58" s="682"/>
      <c r="N58" s="682"/>
      <c r="O58" s="688"/>
      <c r="P58" s="625" t="s">
        <v>373</v>
      </c>
      <c r="Q58" s="624"/>
      <c r="R58" s="695"/>
      <c r="S58" s="695"/>
      <c r="T58" s="622">
        <f>D11</f>
        <v>848</v>
      </c>
      <c r="U58" s="621"/>
    </row>
    <row r="59" spans="1:99" ht="13.5" thickBot="1">
      <c r="A59" s="694" t="s">
        <v>372</v>
      </c>
      <c r="B59" s="693"/>
      <c r="C59" s="692" t="s">
        <v>371</v>
      </c>
      <c r="D59" s="684"/>
      <c r="E59" s="691" t="str">
        <f>E8</f>
        <v>1697-8923</v>
      </c>
      <c r="F59" s="682"/>
      <c r="G59" s="682"/>
      <c r="H59" s="684"/>
      <c r="I59" s="690"/>
      <c r="J59" s="689"/>
      <c r="K59" s="683">
        <f>K8</f>
        <v>0</v>
      </c>
      <c r="L59" s="682"/>
      <c r="M59" s="682"/>
      <c r="N59" s="682"/>
      <c r="O59" s="688"/>
      <c r="P59" s="620" t="s">
        <v>362</v>
      </c>
      <c r="Q59" s="617"/>
      <c r="R59" s="633"/>
      <c r="S59" s="633"/>
      <c r="T59" s="619">
        <f>I11</f>
        <v>850</v>
      </c>
      <c r="U59" s="614"/>
      <c r="AE59" s="568" t="s">
        <v>370</v>
      </c>
      <c r="AF59" s="568">
        <f>MAX(AF54:BD54)</f>
        <v>3</v>
      </c>
      <c r="AG59" s="568" t="str">
        <f>TEXT(AF59,0)</f>
        <v>3</v>
      </c>
      <c r="AH59" s="568" t="s">
        <v>369</v>
      </c>
    </row>
    <row r="60" spans="1:99" ht="13.5" thickBot="1">
      <c r="A60" s="687" t="s">
        <v>368</v>
      </c>
      <c r="B60" s="686"/>
      <c r="C60" s="685" t="s">
        <v>367</v>
      </c>
      <c r="D60" s="684"/>
      <c r="E60" s="683" t="str">
        <f>E9</f>
        <v>линейка измерительная 0-1000,0мм</v>
      </c>
      <c r="F60" s="682"/>
      <c r="G60" s="682"/>
      <c r="H60" s="681"/>
      <c r="I60" s="681"/>
      <c r="J60" s="680"/>
      <c r="K60" s="679" t="s">
        <v>366</v>
      </c>
      <c r="L60" s="678" t="str">
        <f>L9</f>
        <v>мм</v>
      </c>
      <c r="M60" s="677"/>
      <c r="N60" s="677"/>
      <c r="O60" s="676"/>
      <c r="P60" s="630" t="s">
        <v>365</v>
      </c>
      <c r="Q60" s="629"/>
      <c r="R60" s="628"/>
      <c r="S60" s="628"/>
      <c r="T60" s="627">
        <f>M11</f>
        <v>852</v>
      </c>
      <c r="U60" s="626"/>
      <c r="AE60" s="568" t="s">
        <v>364</v>
      </c>
      <c r="AF60" s="568">
        <f>MAX(AF55:BD55)</f>
        <v>2</v>
      </c>
      <c r="AG60" s="568" t="str">
        <f>TEXT(AF60,0)</f>
        <v>2</v>
      </c>
      <c r="AH60" s="568" t="s">
        <v>363</v>
      </c>
    </row>
    <row r="61" spans="1:99">
      <c r="A61" s="675"/>
      <c r="B61" s="674"/>
      <c r="C61" s="673" t="s">
        <v>362</v>
      </c>
      <c r="D61" s="669">
        <f>D10</f>
        <v>850</v>
      </c>
      <c r="E61" s="672"/>
      <c r="F61" s="667"/>
      <c r="G61" s="671" t="s">
        <v>361</v>
      </c>
      <c r="H61" s="670"/>
      <c r="I61" s="669">
        <f>I10</f>
        <v>2</v>
      </c>
      <c r="J61" s="668"/>
      <c r="K61" s="667"/>
      <c r="L61" s="666" t="s">
        <v>360</v>
      </c>
      <c r="M61" s="665">
        <f>M10</f>
        <v>2</v>
      </c>
      <c r="N61" s="664"/>
      <c r="O61" s="663"/>
      <c r="P61" s="625" t="s">
        <v>359</v>
      </c>
      <c r="Q61" s="624"/>
      <c r="R61" s="623"/>
      <c r="S61" s="623"/>
      <c r="T61" s="622">
        <f>IF(T57="","",SUM(B83:Z92))</f>
        <v>33993</v>
      </c>
      <c r="U61" s="621"/>
      <c r="AE61" s="568" t="s">
        <v>358</v>
      </c>
      <c r="AF61" s="568">
        <f>MAX(AF56:BD56)</f>
        <v>1</v>
      </c>
      <c r="AG61" s="568" t="str">
        <f>TEXT(AF61,0)</f>
        <v>1</v>
      </c>
      <c r="AH61" s="568" t="s">
        <v>357</v>
      </c>
    </row>
    <row r="62" spans="1:99" ht="13.5" thickBot="1">
      <c r="A62" s="662"/>
      <c r="B62" s="661"/>
      <c r="C62" s="660" t="str">
        <f>IF($AA$3=1,"Нижн. допуск",IF($AA$3=2,"МИН",""))</f>
        <v>Нижн. допуск</v>
      </c>
      <c r="D62" s="655">
        <f>D11</f>
        <v>848</v>
      </c>
      <c r="E62" s="654"/>
      <c r="F62" s="659"/>
      <c r="G62" s="658" t="str">
        <f>IF($AA$3=1,"НОМИНАЛ","")</f>
        <v>НОМИНАЛ</v>
      </c>
      <c r="H62" s="656"/>
      <c r="I62" s="655">
        <f>I11</f>
        <v>850</v>
      </c>
      <c r="J62" s="654"/>
      <c r="K62" s="657"/>
      <c r="L62" s="656" t="str">
        <f>IF($AA$3=1,"Верх. допуск",IF($AA$3=2,"","МАКС"))</f>
        <v>Верх. допуск</v>
      </c>
      <c r="M62" s="655">
        <f>IF(OR($AA$3=1, $AA$3=3),D61+I61,"")</f>
        <v>852</v>
      </c>
      <c r="N62" s="654"/>
      <c r="O62" s="653"/>
      <c r="P62" s="620" t="s">
        <v>356</v>
      </c>
      <c r="Q62" s="617"/>
      <c r="R62" s="616"/>
      <c r="S62" s="616"/>
      <c r="T62" s="619">
        <f>IF(T57="","",AVERAGE(B83:Z92))</f>
        <v>849.82500000000005</v>
      </c>
      <c r="U62" s="614"/>
      <c r="AE62" s="568" t="s">
        <v>355</v>
      </c>
      <c r="AF62" s="568">
        <f>MAX(AF57:BD57)</f>
        <v>4</v>
      </c>
      <c r="AG62" s="568" t="str">
        <f>TEXT(AF62,0)</f>
        <v>4</v>
      </c>
      <c r="AH62" s="568" t="s">
        <v>354</v>
      </c>
    </row>
    <row r="63" spans="1:99">
      <c r="A63" s="651" t="s">
        <v>353</v>
      </c>
      <c r="B63" s="650"/>
      <c r="C63" s="650"/>
      <c r="D63" s="650"/>
      <c r="E63" s="650"/>
      <c r="F63" s="650"/>
      <c r="G63" s="650"/>
      <c r="H63" s="652"/>
      <c r="I63" s="651" t="s">
        <v>352</v>
      </c>
      <c r="J63" s="650"/>
      <c r="K63" s="650"/>
      <c r="L63" s="650"/>
      <c r="M63" s="650"/>
      <c r="N63" s="650"/>
      <c r="O63" s="649"/>
      <c r="P63" s="620" t="s">
        <v>351</v>
      </c>
      <c r="Q63" s="617"/>
      <c r="R63" s="616"/>
      <c r="S63" s="616"/>
      <c r="T63" s="619">
        <f>IF(T57="","",MAX(B83:Z92))</f>
        <v>850.5</v>
      </c>
      <c r="U63" s="614"/>
    </row>
    <row r="64" spans="1:99">
      <c r="A64" s="572"/>
      <c r="B64" s="571"/>
      <c r="C64" s="571"/>
      <c r="D64" s="571"/>
      <c r="E64" s="571"/>
      <c r="F64" s="571"/>
      <c r="G64" s="571"/>
      <c r="H64" s="571"/>
      <c r="I64" s="571"/>
      <c r="J64" s="643" t="str">
        <f>IF($AA$3=3,"  MIN Reading line","  LSL")</f>
        <v xml:space="preserve">  LSL</v>
      </c>
      <c r="K64" s="648"/>
      <c r="L64" s="571"/>
      <c r="M64" s="571"/>
      <c r="N64" s="647" t="str">
        <f>IF($AA$3=2,"  MAX Reading Line","  USL")</f>
        <v xml:space="preserve">  USL</v>
      </c>
      <c r="O64" s="571"/>
      <c r="P64" s="620" t="s">
        <v>350</v>
      </c>
      <c r="Q64" s="617"/>
      <c r="R64" s="616"/>
      <c r="S64" s="616"/>
      <c r="T64" s="619">
        <f>IF(T57="","",MIN(B83:Z92))</f>
        <v>849</v>
      </c>
      <c r="U64" s="614"/>
      <c r="AD64" s="568" t="s">
        <v>349</v>
      </c>
      <c r="AE64" s="568" t="s">
        <v>348</v>
      </c>
      <c r="AF64" s="568">
        <f>B93</f>
        <v>849.75</v>
      </c>
      <c r="AG64" s="568">
        <f t="shared" ref="AG64:AY64" si="31">IF(SUM(C83:C87)=0,AG21,C93)</f>
        <v>850.125</v>
      </c>
      <c r="AH64" s="568">
        <f t="shared" si="31"/>
        <v>850</v>
      </c>
      <c r="AI64" s="568">
        <f t="shared" si="31"/>
        <v>849.875</v>
      </c>
      <c r="AJ64" s="568">
        <f t="shared" si="31"/>
        <v>849.5</v>
      </c>
      <c r="AK64" s="568">
        <f t="shared" si="31"/>
        <v>849.75</v>
      </c>
      <c r="AL64" s="568">
        <f t="shared" si="31"/>
        <v>850.375</v>
      </c>
      <c r="AM64" s="568">
        <f t="shared" si="31"/>
        <v>850.125</v>
      </c>
      <c r="AN64" s="568">
        <f t="shared" si="31"/>
        <v>849.375</v>
      </c>
      <c r="AO64" s="568">
        <f t="shared" si="31"/>
        <v>849.375</v>
      </c>
      <c r="AP64" s="568">
        <f t="shared" si="31"/>
        <v>849.82500000000005</v>
      </c>
      <c r="AQ64" s="568">
        <f t="shared" si="31"/>
        <v>849.82500000000005</v>
      </c>
      <c r="AR64" s="568">
        <f t="shared" si="31"/>
        <v>849.82500000000005</v>
      </c>
      <c r="AS64" s="568">
        <f t="shared" si="31"/>
        <v>849.82500000000005</v>
      </c>
      <c r="AT64" s="568">
        <f t="shared" si="31"/>
        <v>849.82500000000005</v>
      </c>
      <c r="AU64" s="568">
        <f t="shared" si="31"/>
        <v>849.82500000000005</v>
      </c>
      <c r="AV64" s="568">
        <f t="shared" si="31"/>
        <v>849.82500000000005</v>
      </c>
      <c r="AW64" s="568">
        <f t="shared" si="31"/>
        <v>849.82500000000005</v>
      </c>
      <c r="AX64" s="568">
        <f t="shared" si="31"/>
        <v>849.82500000000005</v>
      </c>
      <c r="AY64" s="568">
        <f t="shared" si="31"/>
        <v>849.82500000000005</v>
      </c>
      <c r="AZ64" s="568">
        <f>IF(SUM(B96:B100)=0,AZ21,B106)</f>
        <v>849.82500000000005</v>
      </c>
      <c r="BA64" s="568">
        <f>IF(SUM(C96:C100)=0,BA21,C106)</f>
        <v>849.82500000000005</v>
      </c>
      <c r="BB64" s="568">
        <f>IF(SUM(D96:D100)=0,BB21,D106)</f>
        <v>849.82500000000005</v>
      </c>
      <c r="BC64" s="568">
        <f>IF(SUM(E96:E100)=0,BC21,E106)</f>
        <v>849.82500000000005</v>
      </c>
      <c r="BD64" s="568">
        <f>IF(SUM(F96:F100)=0,BD21,F106)</f>
        <v>849.82500000000005</v>
      </c>
    </row>
    <row r="65" spans="1:32">
      <c r="A65" s="572"/>
      <c r="B65" s="571"/>
      <c r="C65" s="571"/>
      <c r="D65" s="571"/>
      <c r="E65" s="571"/>
      <c r="F65" s="571"/>
      <c r="G65" s="571"/>
      <c r="H65" s="571"/>
      <c r="I65" s="571"/>
      <c r="J65" s="616"/>
      <c r="K65" s="616"/>
      <c r="L65" s="616"/>
      <c r="M65" s="616"/>
      <c r="N65" s="646"/>
      <c r="O65" s="645"/>
      <c r="P65" s="620" t="s">
        <v>347</v>
      </c>
      <c r="Q65" s="617"/>
      <c r="R65" s="616"/>
      <c r="S65" s="616"/>
      <c r="T65" s="644">
        <f ca="1">IF(T57="","",COUNTIF(B83:Z92,"&lt;"&amp;INDIRECT(AE18)))</f>
        <v>0</v>
      </c>
      <c r="U65" s="614"/>
    </row>
    <row r="66" spans="1:32">
      <c r="A66" s="572"/>
      <c r="B66" s="571"/>
      <c r="C66" s="571"/>
      <c r="D66" s="571"/>
      <c r="E66" s="571"/>
      <c r="F66" s="571"/>
      <c r="G66" s="571"/>
      <c r="H66" s="571"/>
      <c r="I66" s="571"/>
      <c r="J66" s="616"/>
      <c r="K66" s="643"/>
      <c r="L66" s="616"/>
      <c r="M66" s="616"/>
      <c r="N66" s="571"/>
      <c r="O66" s="642"/>
      <c r="P66" s="630" t="s">
        <v>346</v>
      </c>
      <c r="Q66" s="629"/>
      <c r="R66" s="628"/>
      <c r="S66" s="628"/>
      <c r="T66" s="641">
        <f ca="1">IF(T57="","",COUNTIF(B83:Z92,"&gt;"&amp;INDIRECT(AE19)))</f>
        <v>0</v>
      </c>
      <c r="U66" s="626"/>
    </row>
    <row r="67" spans="1:32">
      <c r="A67" s="572"/>
      <c r="B67" s="571"/>
      <c r="C67" s="571"/>
      <c r="D67" s="571"/>
      <c r="E67" s="571"/>
      <c r="F67" s="571"/>
      <c r="G67" s="571"/>
      <c r="H67" s="571"/>
      <c r="I67" s="571"/>
      <c r="J67" s="640">
        <f>AQ17</f>
        <v>848</v>
      </c>
      <c r="K67" s="639"/>
      <c r="L67" s="616"/>
      <c r="M67" s="616"/>
      <c r="N67" s="638">
        <f>AR17</f>
        <v>852</v>
      </c>
      <c r="O67" s="637"/>
      <c r="P67" s="625" t="s">
        <v>345</v>
      </c>
      <c r="Q67" s="624"/>
      <c r="R67" s="623"/>
      <c r="S67" s="623"/>
      <c r="T67" s="622">
        <f>IF(T57="","",AVERAGE(B94:Z94))</f>
        <v>0.55000000000000004</v>
      </c>
      <c r="U67" s="621"/>
    </row>
    <row r="68" spans="1:32" ht="15.75">
      <c r="A68" s="572"/>
      <c r="B68" s="571"/>
      <c r="C68" s="571"/>
      <c r="D68" s="571"/>
      <c r="E68" s="571"/>
      <c r="F68" s="571"/>
      <c r="G68" s="634"/>
      <c r="H68" s="634"/>
      <c r="I68" s="634"/>
      <c r="J68" s="634"/>
      <c r="K68" s="633"/>
      <c r="L68" s="633"/>
      <c r="M68" s="616"/>
      <c r="N68" s="616"/>
      <c r="O68" s="571"/>
      <c r="P68" s="620" t="s">
        <v>344</v>
      </c>
      <c r="Q68" s="636" t="s">
        <v>343</v>
      </c>
      <c r="R68" s="635">
        <f>$N$3</f>
        <v>4</v>
      </c>
      <c r="S68" s="616"/>
      <c r="T68" s="619">
        <f>IF(T57="","",IF($N$3&lt;=5,Y68,IF($N$3&gt;5,Y69,"")))</f>
        <v>2.0590000000000002</v>
      </c>
      <c r="U68" s="614"/>
      <c r="W68" s="568" t="s">
        <v>342</v>
      </c>
      <c r="X68" s="568" t="s">
        <v>341</v>
      </c>
      <c r="Y68" s="568">
        <f>IF($N$3=2,1.128,IF($N$3=3,1.693,IF($N$3=4,2.059,IF($N$3=5,2.326,""))))</f>
        <v>2.0590000000000002</v>
      </c>
    </row>
    <row r="69" spans="1:32">
      <c r="A69" s="572"/>
      <c r="B69" s="571"/>
      <c r="C69" s="571"/>
      <c r="D69" s="571"/>
      <c r="E69" s="571"/>
      <c r="F69" s="571"/>
      <c r="G69" s="634"/>
      <c r="H69" s="634"/>
      <c r="I69" s="634"/>
      <c r="J69" s="634"/>
      <c r="K69" s="633"/>
      <c r="L69" s="633"/>
      <c r="M69" s="616"/>
      <c r="N69" s="616"/>
      <c r="O69" s="571"/>
      <c r="P69" s="620" t="s">
        <v>340</v>
      </c>
      <c r="Q69" s="617"/>
      <c r="R69" s="616"/>
      <c r="S69" s="616"/>
      <c r="T69" s="619">
        <f>IF(T57="","",IF(AA3=2,"N/A",(T60-T62)/(3*T67/T68)))</f>
        <v>2.7141363636363067</v>
      </c>
      <c r="U69" s="614"/>
      <c r="X69" s="568" t="s">
        <v>339</v>
      </c>
      <c r="Y69" s="568" t="str">
        <f>IF($N$3=6,2.534,IF($N$3=7,2.704,IF($N$3=8,2.847,IF($N$3=9,2.97,IF($N$3=10,3.078,"")))))</f>
        <v/>
      </c>
    </row>
    <row r="70" spans="1:32">
      <c r="A70" s="572"/>
      <c r="B70" s="571"/>
      <c r="C70" s="571"/>
      <c r="D70" s="571"/>
      <c r="E70" s="571"/>
      <c r="F70" s="571"/>
      <c r="G70" s="634"/>
      <c r="H70" s="634"/>
      <c r="I70" s="634"/>
      <c r="J70" s="634"/>
      <c r="K70" s="633"/>
      <c r="L70" s="633"/>
      <c r="M70" s="616"/>
      <c r="N70" s="616"/>
      <c r="O70" s="571"/>
      <c r="P70" s="620" t="s">
        <v>338</v>
      </c>
      <c r="Q70" s="617"/>
      <c r="R70" s="616"/>
      <c r="S70" s="616"/>
      <c r="T70" s="619">
        <f>IF(T57="","",IF(AA3=3,"N/A",(T62-T58)/(3*T67/T68)))</f>
        <v>2.2773787878788445</v>
      </c>
      <c r="U70" s="614"/>
    </row>
    <row r="71" spans="1:32" ht="15.75">
      <c r="A71" s="572"/>
      <c r="B71" s="571"/>
      <c r="C71" s="571"/>
      <c r="D71" s="571"/>
      <c r="E71" s="571"/>
      <c r="F71" s="571"/>
      <c r="G71" s="634"/>
      <c r="H71" s="634"/>
      <c r="I71" s="634"/>
      <c r="J71" s="634"/>
      <c r="K71" s="633"/>
      <c r="L71" s="633"/>
      <c r="M71" s="616"/>
      <c r="N71" s="616"/>
      <c r="O71" s="571"/>
      <c r="P71" s="620" t="s">
        <v>337</v>
      </c>
      <c r="Q71" s="617"/>
      <c r="R71" s="616"/>
      <c r="S71" s="616"/>
      <c r="T71" s="619">
        <f>IF(T57="","",IF(AA3&lt;&gt;1,"N/A",(T60-T58)/(6*T67/T68)))</f>
        <v>2.4957575757575756</v>
      </c>
      <c r="U71" s="614"/>
      <c r="AC71" s="568">
        <f t="shared" ref="AC71:AC76" si="32">LEN(AF71)</f>
        <v>26</v>
      </c>
      <c r="AE71" s="568">
        <f>IF(T57="",0,IF(T5&gt;=7,1,0))</f>
        <v>0</v>
      </c>
      <c r="AF71" s="568" t="s">
        <v>336</v>
      </c>
    </row>
    <row r="72" spans="1:32" ht="14.25">
      <c r="A72" s="572"/>
      <c r="B72" s="571"/>
      <c r="C72" s="571"/>
      <c r="D72" s="571"/>
      <c r="E72" s="571"/>
      <c r="F72" s="571"/>
      <c r="G72" s="616"/>
      <c r="H72" s="616"/>
      <c r="I72" s="616"/>
      <c r="J72" s="616"/>
      <c r="K72" s="616"/>
      <c r="L72" s="616"/>
      <c r="M72" s="616"/>
      <c r="N72" s="616"/>
      <c r="O72" s="571"/>
      <c r="P72" s="632" t="s">
        <v>335</v>
      </c>
      <c r="Q72" s="617"/>
      <c r="R72" s="631"/>
      <c r="S72" s="631"/>
      <c r="T72" s="615">
        <f>IF(T57="","",MIN(T69,T70))</f>
        <v>2.2773787878788445</v>
      </c>
      <c r="U72" s="614"/>
      <c r="AC72" s="568">
        <f t="shared" si="32"/>
        <v>29</v>
      </c>
      <c r="AE72" s="568">
        <f>IF(T57="",0,IF(T7&gt;=7,1,0))</f>
        <v>0</v>
      </c>
      <c r="AF72" s="568" t="s">
        <v>334</v>
      </c>
    </row>
    <row r="73" spans="1:32">
      <c r="A73" s="572"/>
      <c r="B73" s="571"/>
      <c r="C73" s="571"/>
      <c r="D73" s="571"/>
      <c r="E73" s="571"/>
      <c r="F73" s="571"/>
      <c r="G73" s="616"/>
      <c r="H73" s="616"/>
      <c r="I73" s="616"/>
      <c r="J73" s="616"/>
      <c r="K73" s="616"/>
      <c r="L73" s="616"/>
      <c r="M73" s="616"/>
      <c r="N73" s="616"/>
      <c r="O73" s="571"/>
      <c r="P73" s="630" t="s">
        <v>333</v>
      </c>
      <c r="Q73" s="629"/>
      <c r="R73" s="628"/>
      <c r="S73" s="628"/>
      <c r="T73" s="627">
        <f>IF(T57="","",IF(AA3&lt;&gt;1,"N/A",(6*T67/T68)/(T60-T58)))</f>
        <v>0.40067994171928123</v>
      </c>
      <c r="U73" s="626"/>
      <c r="AC73" s="568">
        <f t="shared" si="32"/>
        <v>31</v>
      </c>
      <c r="AE73" s="568">
        <f ca="1">IF(T57="",0,IF(T9&lt;&gt;0,1,0))</f>
        <v>1</v>
      </c>
      <c r="AF73" s="568" t="s">
        <v>332</v>
      </c>
    </row>
    <row r="74" spans="1:32">
      <c r="A74" s="572"/>
      <c r="B74" s="571"/>
      <c r="C74" s="571"/>
      <c r="D74" s="571"/>
      <c r="E74" s="571"/>
      <c r="F74" s="571"/>
      <c r="G74" s="616"/>
      <c r="H74" s="616"/>
      <c r="I74" s="616"/>
      <c r="J74" s="616"/>
      <c r="K74" s="616"/>
      <c r="L74" s="616"/>
      <c r="M74" s="616"/>
      <c r="N74" s="616"/>
      <c r="O74" s="571"/>
      <c r="P74" s="625" t="s">
        <v>331</v>
      </c>
      <c r="Q74" s="624"/>
      <c r="R74" s="623"/>
      <c r="S74" s="623"/>
      <c r="T74" s="622">
        <f>IF(T57="","",STDEV(B83:Z92))</f>
        <v>0.4319009858039935</v>
      </c>
      <c r="U74" s="621"/>
      <c r="AC74" s="568">
        <f t="shared" si="32"/>
        <v>26</v>
      </c>
      <c r="AE74" s="568">
        <f>IF(T57="",0,IF(U5&gt;=7,1,0))</f>
        <v>0</v>
      </c>
      <c r="AF74" s="568" t="s">
        <v>330</v>
      </c>
    </row>
    <row r="75" spans="1:32">
      <c r="A75" s="572"/>
      <c r="B75" s="571"/>
      <c r="C75" s="571"/>
      <c r="D75" s="571"/>
      <c r="E75" s="571"/>
      <c r="F75" s="571"/>
      <c r="G75" s="616"/>
      <c r="H75" s="616"/>
      <c r="I75" s="616"/>
      <c r="J75" s="616"/>
      <c r="K75" s="616"/>
      <c r="L75" s="616"/>
      <c r="M75" s="616"/>
      <c r="N75" s="616"/>
      <c r="O75" s="571"/>
      <c r="P75" s="620" t="s">
        <v>329</v>
      </c>
      <c r="Q75" s="617"/>
      <c r="R75" s="616"/>
      <c r="S75" s="616"/>
      <c r="T75" s="619">
        <f>IF(T57="","",STDEVP(B83:Z92))</f>
        <v>0.42646805273079935</v>
      </c>
      <c r="U75" s="614"/>
      <c r="AC75" s="568">
        <f t="shared" si="32"/>
        <v>29</v>
      </c>
      <c r="AE75" s="568">
        <f>IF(T57="",0,IF(U7&gt;=7,1,0))</f>
        <v>0</v>
      </c>
      <c r="AF75" s="568" t="s">
        <v>328</v>
      </c>
    </row>
    <row r="76" spans="1:32">
      <c r="A76" s="572"/>
      <c r="B76" s="571"/>
      <c r="C76" s="571"/>
      <c r="D76" s="571"/>
      <c r="E76" s="571"/>
      <c r="F76" s="571"/>
      <c r="G76" s="616"/>
      <c r="H76" s="616"/>
      <c r="I76" s="616"/>
      <c r="J76" s="616"/>
      <c r="K76" s="616"/>
      <c r="L76" s="616"/>
      <c r="M76" s="616"/>
      <c r="N76" s="616"/>
      <c r="O76" s="571"/>
      <c r="P76" s="620" t="s">
        <v>327</v>
      </c>
      <c r="Q76" s="617"/>
      <c r="R76" s="616"/>
      <c r="S76" s="616"/>
      <c r="T76" s="619">
        <f>IF(T57="","",VAR(B83:Z92))</f>
        <v>0.18653846153846138</v>
      </c>
      <c r="U76" s="614"/>
      <c r="AC76" s="568">
        <f t="shared" si="32"/>
        <v>31</v>
      </c>
      <c r="AE76" s="568">
        <f ca="1">IF(T57="",0,IF(U9&lt;&gt;0,1,0))</f>
        <v>1</v>
      </c>
      <c r="AF76" s="568" t="s">
        <v>326</v>
      </c>
    </row>
    <row r="77" spans="1:32">
      <c r="A77" s="572"/>
      <c r="B77" s="571"/>
      <c r="C77" s="571"/>
      <c r="D77" s="571"/>
      <c r="E77" s="571"/>
      <c r="F77" s="571"/>
      <c r="G77" s="616"/>
      <c r="H77" s="616"/>
      <c r="I77" s="616"/>
      <c r="J77" s="616"/>
      <c r="K77" s="616"/>
      <c r="L77" s="616"/>
      <c r="M77" s="616"/>
      <c r="N77" s="616"/>
      <c r="O77" s="571"/>
      <c r="P77" s="620" t="s">
        <v>325</v>
      </c>
      <c r="Q77" s="617"/>
      <c r="R77" s="616"/>
      <c r="S77" s="616"/>
      <c r="T77" s="619">
        <f>IF(T57="","",VARP(B83:Z92))</f>
        <v>0.18187499999999984</v>
      </c>
      <c r="U77" s="614"/>
      <c r="AD77" s="568">
        <f>LEN(AF77)</f>
        <v>43</v>
      </c>
      <c r="AE77" s="568">
        <f>IF(T57="",0,IF(AND(T78&lt;1.67,T72&lt;1.33),1,0))</f>
        <v>0</v>
      </c>
      <c r="AF77" s="568" t="s">
        <v>324</v>
      </c>
    </row>
    <row r="78" spans="1:32" ht="15.75">
      <c r="A78" s="572"/>
      <c r="B78" s="571"/>
      <c r="C78" s="571"/>
      <c r="D78" s="571"/>
      <c r="E78" s="571"/>
      <c r="F78" s="571"/>
      <c r="G78" s="616"/>
      <c r="H78" s="616"/>
      <c r="I78" s="616"/>
      <c r="J78" s="616"/>
      <c r="K78" s="616"/>
      <c r="L78" s="616"/>
      <c r="M78" s="616"/>
      <c r="N78" s="616"/>
      <c r="O78" s="571"/>
      <c r="P78" s="620" t="s">
        <v>323</v>
      </c>
      <c r="Q78" s="617"/>
      <c r="R78" s="616"/>
      <c r="S78" s="616"/>
      <c r="T78" s="619">
        <f>IF(T57="","",IF(AA3&lt;&gt;1,"N/A",(T60-T58)/(6*T74)))</f>
        <v>1.5435636606053389</v>
      </c>
      <c r="U78" s="614"/>
      <c r="AD78" s="568">
        <f>LEN(AF78)</f>
        <v>76</v>
      </c>
      <c r="AE78" s="568">
        <f>IF(T57="",0,IF(AND(T80&lt;1.67,T80&gt;=1.33,T72&lt;1.33),1,0))</f>
        <v>0</v>
      </c>
      <c r="AF78" s="568" t="s">
        <v>322</v>
      </c>
    </row>
    <row r="79" spans="1:32">
      <c r="A79" s="572"/>
      <c r="B79" s="571"/>
      <c r="C79" s="571"/>
      <c r="D79" s="571"/>
      <c r="E79" s="571"/>
      <c r="F79" s="571"/>
      <c r="G79" s="616"/>
      <c r="H79" s="616"/>
      <c r="I79" s="616"/>
      <c r="J79" s="616"/>
      <c r="K79" s="616"/>
      <c r="L79" s="616"/>
      <c r="M79" s="616"/>
      <c r="N79" s="616"/>
      <c r="O79" s="571"/>
      <c r="P79" s="620" t="s">
        <v>321</v>
      </c>
      <c r="Q79" s="617"/>
      <c r="R79" s="616"/>
      <c r="S79" s="616"/>
      <c r="T79" s="619">
        <f>IF(T57="","",IF(AA3&lt;&gt;1,"N/A",(6*T74)/(T60-T58)))</f>
        <v>0.64785147870599025</v>
      </c>
      <c r="U79" s="614"/>
      <c r="AD79" s="568">
        <f>LEN(AF79)</f>
        <v>66</v>
      </c>
      <c r="AE79" s="568">
        <f>IF(T57="",0,IF(T80&lt;1.33,1,0))</f>
        <v>0</v>
      </c>
      <c r="AF79" s="568" t="s">
        <v>320</v>
      </c>
    </row>
    <row r="80" spans="1:32" ht="15" thickBot="1">
      <c r="A80" s="572"/>
      <c r="B80" s="571"/>
      <c r="C80" s="571"/>
      <c r="D80" s="571"/>
      <c r="E80" s="571"/>
      <c r="F80" s="571"/>
      <c r="G80" s="616"/>
      <c r="H80" s="616"/>
      <c r="I80" s="616"/>
      <c r="J80" s="616"/>
      <c r="K80" s="616"/>
      <c r="L80" s="616"/>
      <c r="M80" s="616"/>
      <c r="N80" s="616"/>
      <c r="O80" s="571"/>
      <c r="P80" s="618" t="s">
        <v>319</v>
      </c>
      <c r="Q80" s="617"/>
      <c r="R80" s="616"/>
      <c r="S80" s="616"/>
      <c r="T80" s="615">
        <f>IF(T57="","",MIN(AD5,AD6))</f>
        <v>1.4085018403024068</v>
      </c>
      <c r="U80" s="614"/>
      <c r="AE80" s="568">
        <f>IF(T57="",0,IF(AF59&gt;=7,1,0))</f>
        <v>0</v>
      </c>
      <c r="AF80" s="568" t="s">
        <v>318</v>
      </c>
    </row>
    <row r="81" spans="1:32" ht="13.5" thickBot="1">
      <c r="A81" s="613"/>
      <c r="B81" s="613"/>
      <c r="C81" s="613"/>
      <c r="D81" s="613"/>
      <c r="E81" s="613"/>
      <c r="F81" s="613"/>
      <c r="G81" s="613" t="s">
        <v>190</v>
      </c>
      <c r="H81" s="612" t="s">
        <v>317</v>
      </c>
      <c r="I81" s="612" t="s">
        <v>194</v>
      </c>
      <c r="J81" s="612" t="s">
        <v>186</v>
      </c>
      <c r="K81" s="612" t="s">
        <v>196</v>
      </c>
      <c r="L81" s="612" t="s">
        <v>193</v>
      </c>
      <c r="M81" s="612" t="s">
        <v>192</v>
      </c>
      <c r="N81" s="612"/>
      <c r="O81" s="612"/>
      <c r="P81" s="612"/>
      <c r="Q81" s="612"/>
      <c r="R81" s="612"/>
      <c r="S81" s="612"/>
      <c r="T81" s="612"/>
      <c r="U81" s="611"/>
      <c r="AE81" s="568">
        <f>IF(T57="",0,IF(AF60&gt;=7,1,0))</f>
        <v>0</v>
      </c>
      <c r="AF81" s="568" t="s">
        <v>316</v>
      </c>
    </row>
    <row r="82" spans="1:32">
      <c r="A82" s="605" t="s">
        <v>311</v>
      </c>
      <c r="B82" s="610">
        <v>1</v>
      </c>
      <c r="C82" s="610">
        <f t="shared" ref="C82:U82" si="33">1+B82</f>
        <v>2</v>
      </c>
      <c r="D82" s="610">
        <f t="shared" si="33"/>
        <v>3</v>
      </c>
      <c r="E82" s="610">
        <f t="shared" si="33"/>
        <v>4</v>
      </c>
      <c r="F82" s="610">
        <f t="shared" si="33"/>
        <v>5</v>
      </c>
      <c r="G82" s="610">
        <f t="shared" si="33"/>
        <v>6</v>
      </c>
      <c r="H82" s="610">
        <f t="shared" si="33"/>
        <v>7</v>
      </c>
      <c r="I82" s="610">
        <f t="shared" si="33"/>
        <v>8</v>
      </c>
      <c r="J82" s="610">
        <f t="shared" si="33"/>
        <v>9</v>
      </c>
      <c r="K82" s="610">
        <f t="shared" si="33"/>
        <v>10</v>
      </c>
      <c r="L82" s="610">
        <f t="shared" si="33"/>
        <v>11</v>
      </c>
      <c r="M82" s="610">
        <f t="shared" si="33"/>
        <v>12</v>
      </c>
      <c r="N82" s="610">
        <f t="shared" si="33"/>
        <v>13</v>
      </c>
      <c r="O82" s="610">
        <f t="shared" si="33"/>
        <v>14</v>
      </c>
      <c r="P82" s="610">
        <f t="shared" si="33"/>
        <v>15</v>
      </c>
      <c r="Q82" s="610">
        <f t="shared" si="33"/>
        <v>16</v>
      </c>
      <c r="R82" s="610">
        <f t="shared" si="33"/>
        <v>17</v>
      </c>
      <c r="S82" s="610">
        <f t="shared" si="33"/>
        <v>18</v>
      </c>
      <c r="T82" s="610">
        <f t="shared" si="33"/>
        <v>19</v>
      </c>
      <c r="U82" s="609">
        <f t="shared" si="33"/>
        <v>20</v>
      </c>
      <c r="AE82" s="568">
        <f>IF(T57="",0,IF(AF61&gt;=7,1,0))</f>
        <v>0</v>
      </c>
      <c r="AF82" s="568" t="s">
        <v>315</v>
      </c>
    </row>
    <row r="83" spans="1:32">
      <c r="A83" s="608">
        <v>1</v>
      </c>
      <c r="B83" s="586">
        <v>849.5</v>
      </c>
      <c r="C83" s="586">
        <v>850</v>
      </c>
      <c r="D83" s="586">
        <v>850</v>
      </c>
      <c r="E83" s="586">
        <v>850</v>
      </c>
      <c r="F83" s="586">
        <v>849.5</v>
      </c>
      <c r="G83" s="586">
        <v>850</v>
      </c>
      <c r="H83" s="586">
        <v>850.5</v>
      </c>
      <c r="I83" s="586">
        <v>850</v>
      </c>
      <c r="J83" s="586">
        <v>849.5</v>
      </c>
      <c r="K83" s="586">
        <v>849.5</v>
      </c>
      <c r="L83" s="586"/>
      <c r="M83" s="586"/>
      <c r="N83" s="586"/>
      <c r="O83" s="586"/>
      <c r="P83" s="586"/>
      <c r="Q83" s="586"/>
      <c r="R83" s="586"/>
      <c r="S83" s="586"/>
      <c r="T83" s="586"/>
      <c r="U83" s="586"/>
      <c r="V83" s="568" t="str">
        <f t="shared" ref="V83:V92" si="34">IF(B96,B96,"")</f>
        <v/>
      </c>
      <c r="W83" s="568" t="str">
        <f t="shared" ref="W83:W92" si="35">IF(C96,C96,"")</f>
        <v/>
      </c>
      <c r="X83" s="568" t="str">
        <f t="shared" ref="X83:X92" si="36">IF(D96,D96,"")</f>
        <v/>
      </c>
      <c r="Y83" s="568" t="str">
        <f t="shared" ref="Y83:Y92" si="37">IF(E96,E96,"")</f>
        <v/>
      </c>
      <c r="Z83" s="568" t="str">
        <f t="shared" ref="Z83:Z92" si="38">IF(F96,F96,"")</f>
        <v/>
      </c>
      <c r="AE83" s="568">
        <f>IF(T57="",0,IF(AF62&gt;=7,1,0))</f>
        <v>0</v>
      </c>
      <c r="AF83" s="568" t="s">
        <v>314</v>
      </c>
    </row>
    <row r="84" spans="1:32">
      <c r="A84" s="608">
        <v>2</v>
      </c>
      <c r="B84" s="586">
        <v>850.5</v>
      </c>
      <c r="C84" s="586">
        <v>850</v>
      </c>
      <c r="D84" s="586">
        <v>850</v>
      </c>
      <c r="E84" s="586">
        <v>850</v>
      </c>
      <c r="F84" s="586">
        <v>849.5</v>
      </c>
      <c r="G84" s="586">
        <v>850</v>
      </c>
      <c r="H84" s="586">
        <v>850.5</v>
      </c>
      <c r="I84" s="586">
        <v>850.5</v>
      </c>
      <c r="J84" s="586">
        <v>849.5</v>
      </c>
      <c r="K84" s="586">
        <v>849</v>
      </c>
      <c r="L84" s="586"/>
      <c r="M84" s="586"/>
      <c r="N84" s="586"/>
      <c r="O84" s="586"/>
      <c r="P84" s="586"/>
      <c r="Q84" s="586"/>
      <c r="R84" s="586"/>
      <c r="S84" s="586"/>
      <c r="T84" s="586"/>
      <c r="U84" s="586"/>
      <c r="V84" s="568" t="str">
        <f t="shared" si="34"/>
        <v/>
      </c>
      <c r="W84" s="568" t="str">
        <f t="shared" si="35"/>
        <v/>
      </c>
      <c r="X84" s="568" t="str">
        <f t="shared" si="36"/>
        <v/>
      </c>
      <c r="Y84" s="568" t="str">
        <f t="shared" si="37"/>
        <v/>
      </c>
      <c r="Z84" s="568" t="str">
        <f t="shared" si="38"/>
        <v/>
      </c>
      <c r="AC84" s="568">
        <f>SUM(AC71:AC83)</f>
        <v>172</v>
      </c>
      <c r="AD84" s="568">
        <f>SUM(AD71:AD83)</f>
        <v>185</v>
      </c>
      <c r="AE84" s="568">
        <f ca="1">SUM(AE71:AE83)</f>
        <v>2</v>
      </c>
      <c r="AF84" s="568" t="s">
        <v>313</v>
      </c>
    </row>
    <row r="85" spans="1:32">
      <c r="A85" s="608">
        <f>IF($N$3&gt;2,3,"")</f>
        <v>3</v>
      </c>
      <c r="B85" s="586">
        <v>849</v>
      </c>
      <c r="C85" s="586">
        <v>850.5</v>
      </c>
      <c r="D85" s="586">
        <v>850</v>
      </c>
      <c r="E85" s="586">
        <v>849.5</v>
      </c>
      <c r="F85" s="586">
        <v>849.5</v>
      </c>
      <c r="G85" s="586">
        <v>849</v>
      </c>
      <c r="H85" s="586">
        <v>850</v>
      </c>
      <c r="I85" s="586">
        <v>850</v>
      </c>
      <c r="J85" s="586">
        <v>849</v>
      </c>
      <c r="K85" s="586">
        <v>849.5</v>
      </c>
      <c r="L85" s="586"/>
      <c r="M85" s="586"/>
      <c r="N85" s="586"/>
      <c r="O85" s="586"/>
      <c r="P85" s="586"/>
      <c r="Q85" s="586"/>
      <c r="R85" s="586"/>
      <c r="S85" s="586"/>
      <c r="T85" s="586"/>
      <c r="U85" s="586"/>
      <c r="V85" s="568" t="str">
        <f t="shared" si="34"/>
        <v/>
      </c>
      <c r="W85" s="568" t="str">
        <f t="shared" si="35"/>
        <v/>
      </c>
      <c r="X85" s="568" t="str">
        <f t="shared" si="36"/>
        <v/>
      </c>
      <c r="Y85" s="568" t="str">
        <f t="shared" si="37"/>
        <v/>
      </c>
      <c r="Z85" s="568" t="str">
        <f t="shared" si="38"/>
        <v/>
      </c>
      <c r="AE85" s="568" t="s">
        <v>312</v>
      </c>
    </row>
    <row r="86" spans="1:32">
      <c r="A86" s="608">
        <f>IF($N$3&gt;3,4,"")</f>
        <v>4</v>
      </c>
      <c r="B86" s="586">
        <v>850</v>
      </c>
      <c r="C86" s="586">
        <v>850</v>
      </c>
      <c r="D86" s="586">
        <v>850</v>
      </c>
      <c r="E86" s="586">
        <v>850</v>
      </c>
      <c r="F86" s="586">
        <v>849.5</v>
      </c>
      <c r="G86" s="586">
        <v>850</v>
      </c>
      <c r="H86" s="586">
        <v>850.5</v>
      </c>
      <c r="I86" s="586">
        <v>850</v>
      </c>
      <c r="J86" s="586">
        <v>849.5</v>
      </c>
      <c r="K86" s="586">
        <v>849.5</v>
      </c>
      <c r="L86" s="586"/>
      <c r="M86" s="586"/>
      <c r="N86" s="586"/>
      <c r="O86" s="586"/>
      <c r="P86" s="586"/>
      <c r="Q86" s="586"/>
      <c r="R86" s="586"/>
      <c r="S86" s="586"/>
      <c r="T86" s="586"/>
      <c r="U86" s="586"/>
      <c r="V86" s="568" t="str">
        <f t="shared" si="34"/>
        <v/>
      </c>
      <c r="W86" s="568" t="str">
        <f t="shared" si="35"/>
        <v/>
      </c>
      <c r="X86" s="568" t="str">
        <f t="shared" si="36"/>
        <v/>
      </c>
      <c r="Y86" s="568" t="str">
        <f t="shared" si="37"/>
        <v/>
      </c>
      <c r="Z86" s="568" t="str">
        <f t="shared" si="38"/>
        <v/>
      </c>
      <c r="AF86" s="568" t="str">
        <f>IF(AE71,AF71,"")</f>
        <v/>
      </c>
    </row>
    <row r="87" spans="1:32">
      <c r="A87" s="608" t="str">
        <f>IF($N$3&gt;4,5,"")</f>
        <v/>
      </c>
      <c r="B87" s="586"/>
      <c r="C87" s="586"/>
      <c r="D87" s="586"/>
      <c r="E87" s="586"/>
      <c r="F87" s="586"/>
      <c r="G87" s="586"/>
      <c r="H87" s="586"/>
      <c r="I87" s="586"/>
      <c r="J87" s="586"/>
      <c r="K87" s="586"/>
      <c r="L87" s="586"/>
      <c r="M87" s="586"/>
      <c r="N87" s="586"/>
      <c r="O87" s="586"/>
      <c r="P87" s="586"/>
      <c r="Q87" s="586"/>
      <c r="R87" s="586"/>
      <c r="S87" s="586"/>
      <c r="T87" s="586"/>
      <c r="U87" s="586"/>
      <c r="V87" s="568" t="str">
        <f t="shared" si="34"/>
        <v/>
      </c>
      <c r="W87" s="568" t="str">
        <f t="shared" si="35"/>
        <v/>
      </c>
      <c r="X87" s="568" t="str">
        <f t="shared" si="36"/>
        <v/>
      </c>
      <c r="Y87" s="568" t="str">
        <f t="shared" si="37"/>
        <v/>
      </c>
      <c r="Z87" s="568" t="str">
        <f t="shared" si="38"/>
        <v/>
      </c>
      <c r="AF87" s="568" t="str">
        <f>IF(AE72,CONCATENATE(AF86,AF72),AF86)</f>
        <v/>
      </c>
    </row>
    <row r="88" spans="1:32">
      <c r="A88" s="588" t="str">
        <f>IF($N$3&gt;5,6,"")</f>
        <v/>
      </c>
      <c r="B88" s="590"/>
      <c r="C88" s="590"/>
      <c r="D88" s="590"/>
      <c r="E88" s="590"/>
      <c r="F88" s="590"/>
      <c r="G88" s="590"/>
      <c r="H88" s="590"/>
      <c r="I88" s="590"/>
      <c r="J88" s="590"/>
      <c r="K88" s="590"/>
      <c r="L88" s="590"/>
      <c r="M88" s="590"/>
      <c r="N88" s="590"/>
      <c r="O88" s="590"/>
      <c r="P88" s="590"/>
      <c r="Q88" s="590"/>
      <c r="R88" s="590"/>
      <c r="S88" s="590"/>
      <c r="T88" s="590"/>
      <c r="U88" s="589"/>
      <c r="V88" s="568" t="str">
        <f t="shared" si="34"/>
        <v/>
      </c>
      <c r="W88" s="568" t="str">
        <f t="shared" si="35"/>
        <v/>
      </c>
      <c r="X88" s="568" t="str">
        <f t="shared" si="36"/>
        <v/>
      </c>
      <c r="Y88" s="568" t="str">
        <f t="shared" si="37"/>
        <v/>
      </c>
      <c r="Z88" s="568" t="str">
        <f t="shared" si="38"/>
        <v/>
      </c>
      <c r="AF88" s="568" t="str">
        <f ca="1">IF(AE73,CONCATENATE(AF87,AF73),AF87)</f>
        <v xml:space="preserve">Вне контрольных пределов (X) - </v>
      </c>
    </row>
    <row r="89" spans="1:32">
      <c r="A89" s="588" t="str">
        <f>IF($N$3&gt;6,7,"")</f>
        <v/>
      </c>
      <c r="B89" s="586"/>
      <c r="C89" s="586"/>
      <c r="D89" s="586"/>
      <c r="E89" s="586"/>
      <c r="F89" s="586"/>
      <c r="G89" s="586"/>
      <c r="H89" s="586"/>
      <c r="I89" s="586"/>
      <c r="J89" s="586"/>
      <c r="K89" s="586"/>
      <c r="L89" s="586"/>
      <c r="M89" s="586"/>
      <c r="N89" s="586"/>
      <c r="O89" s="586"/>
      <c r="P89" s="586"/>
      <c r="Q89" s="586"/>
      <c r="R89" s="586"/>
      <c r="S89" s="586"/>
      <c r="T89" s="586"/>
      <c r="U89" s="585"/>
      <c r="V89" s="568" t="str">
        <f t="shared" si="34"/>
        <v/>
      </c>
      <c r="W89" s="568" t="str">
        <f t="shared" si="35"/>
        <v/>
      </c>
      <c r="X89" s="568" t="str">
        <f t="shared" si="36"/>
        <v/>
      </c>
      <c r="Y89" s="568" t="str">
        <f t="shared" si="37"/>
        <v/>
      </c>
      <c r="Z89" s="568" t="str">
        <f t="shared" si="38"/>
        <v/>
      </c>
      <c r="AF89" s="568" t="str">
        <f ca="1">IF(AE74,CONCATENATE(AF88,AF74),AF88)</f>
        <v xml:space="preserve">Вне контрольных пределов (X) - </v>
      </c>
    </row>
    <row r="90" spans="1:32">
      <c r="A90" s="588" t="str">
        <f>IF($N$3&gt;7,8,"")</f>
        <v/>
      </c>
      <c r="B90" s="586"/>
      <c r="C90" s="586"/>
      <c r="D90" s="586"/>
      <c r="E90" s="586"/>
      <c r="F90" s="586"/>
      <c r="G90" s="586"/>
      <c r="H90" s="586"/>
      <c r="I90" s="586"/>
      <c r="J90" s="586"/>
      <c r="K90" s="586"/>
      <c r="L90" s="586"/>
      <c r="M90" s="586"/>
      <c r="N90" s="586"/>
      <c r="O90" s="586"/>
      <c r="P90" s="586"/>
      <c r="Q90" s="586"/>
      <c r="R90" s="586"/>
      <c r="S90" s="586"/>
      <c r="T90" s="586"/>
      <c r="U90" s="585"/>
      <c r="V90" s="568" t="str">
        <f t="shared" si="34"/>
        <v/>
      </c>
      <c r="W90" s="568" t="str">
        <f t="shared" si="35"/>
        <v/>
      </c>
      <c r="X90" s="568" t="str">
        <f t="shared" si="36"/>
        <v/>
      </c>
      <c r="Y90" s="568" t="str">
        <f t="shared" si="37"/>
        <v/>
      </c>
      <c r="Z90" s="568" t="str">
        <f t="shared" si="38"/>
        <v/>
      </c>
      <c r="AF90" s="568" t="str">
        <f ca="1">IF(AE75,CONCATENATE(AF89,AF75),AF89)</f>
        <v xml:space="preserve">Вне контрольных пределов (X) - </v>
      </c>
    </row>
    <row r="91" spans="1:32">
      <c r="A91" s="588" t="str">
        <f>IF($N$3&gt;8,9,"")</f>
        <v/>
      </c>
      <c r="B91" s="586"/>
      <c r="C91" s="586"/>
      <c r="D91" s="586"/>
      <c r="E91" s="586"/>
      <c r="F91" s="586"/>
      <c r="G91" s="586"/>
      <c r="H91" s="586"/>
      <c r="I91" s="586"/>
      <c r="J91" s="586"/>
      <c r="K91" s="586"/>
      <c r="L91" s="586"/>
      <c r="M91" s="586"/>
      <c r="N91" s="586"/>
      <c r="O91" s="586"/>
      <c r="P91" s="586"/>
      <c r="Q91" s="586"/>
      <c r="R91" s="586"/>
      <c r="S91" s="586"/>
      <c r="T91" s="586"/>
      <c r="U91" s="585"/>
      <c r="V91" s="568" t="str">
        <f t="shared" si="34"/>
        <v/>
      </c>
      <c r="W91" s="568" t="str">
        <f t="shared" si="35"/>
        <v/>
      </c>
      <c r="X91" s="568" t="str">
        <f t="shared" si="36"/>
        <v/>
      </c>
      <c r="Y91" s="568" t="str">
        <f t="shared" si="37"/>
        <v/>
      </c>
      <c r="Z91" s="568" t="str">
        <f t="shared" si="38"/>
        <v/>
      </c>
      <c r="AF91" s="568" t="str">
        <f ca="1">IF(AE76,CONCATENATE(AF90,AF76),AF90)</f>
        <v xml:space="preserve">Вне контрольных пределов (X) - Вне контрольных пределов (R) - </v>
      </c>
    </row>
    <row r="92" spans="1:32" ht="13.5" thickBot="1">
      <c r="A92" s="587" t="str">
        <f>IF($N$3&gt;9,10,"")</f>
        <v/>
      </c>
      <c r="B92" s="586"/>
      <c r="C92" s="586"/>
      <c r="D92" s="586"/>
      <c r="E92" s="586"/>
      <c r="F92" s="586"/>
      <c r="G92" s="586"/>
      <c r="H92" s="586"/>
      <c r="I92" s="586"/>
      <c r="J92" s="586"/>
      <c r="K92" s="586"/>
      <c r="L92" s="586"/>
      <c r="M92" s="586"/>
      <c r="N92" s="586"/>
      <c r="O92" s="586"/>
      <c r="P92" s="586"/>
      <c r="Q92" s="586"/>
      <c r="R92" s="586"/>
      <c r="S92" s="586"/>
      <c r="T92" s="586"/>
      <c r="U92" s="585"/>
      <c r="V92" s="568" t="str">
        <f t="shared" si="34"/>
        <v/>
      </c>
      <c r="W92" s="568" t="str">
        <f t="shared" si="35"/>
        <v/>
      </c>
      <c r="X92" s="568" t="str">
        <f t="shared" si="36"/>
        <v/>
      </c>
      <c r="Y92" s="568" t="str">
        <f t="shared" si="37"/>
        <v/>
      </c>
      <c r="Z92" s="568" t="str">
        <f t="shared" si="38"/>
        <v/>
      </c>
      <c r="AF92" s="568" t="str">
        <f>IF(AE77,AF77,"")</f>
        <v/>
      </c>
    </row>
    <row r="93" spans="1:32">
      <c r="A93" s="584" t="s">
        <v>307</v>
      </c>
      <c r="B93" s="583">
        <f t="shared" ref="B93:Z93" si="39">IF(SUM(B83:B92)&lt;&gt;0,AVERAGE(B83:B92),"")</f>
        <v>849.75</v>
      </c>
      <c r="C93" s="583">
        <f t="shared" si="39"/>
        <v>850.125</v>
      </c>
      <c r="D93" s="583">
        <f t="shared" si="39"/>
        <v>850</v>
      </c>
      <c r="E93" s="583">
        <f t="shared" si="39"/>
        <v>849.875</v>
      </c>
      <c r="F93" s="583">
        <f t="shared" si="39"/>
        <v>849.5</v>
      </c>
      <c r="G93" s="583">
        <f t="shared" si="39"/>
        <v>849.75</v>
      </c>
      <c r="H93" s="583">
        <f t="shared" si="39"/>
        <v>850.375</v>
      </c>
      <c r="I93" s="583">
        <f t="shared" si="39"/>
        <v>850.125</v>
      </c>
      <c r="J93" s="583">
        <f t="shared" si="39"/>
        <v>849.375</v>
      </c>
      <c r="K93" s="583">
        <f t="shared" si="39"/>
        <v>849.375</v>
      </c>
      <c r="L93" s="583" t="str">
        <f t="shared" si="39"/>
        <v/>
      </c>
      <c r="M93" s="583" t="str">
        <f t="shared" si="39"/>
        <v/>
      </c>
      <c r="N93" s="583" t="str">
        <f t="shared" si="39"/>
        <v/>
      </c>
      <c r="O93" s="583" t="str">
        <f t="shared" si="39"/>
        <v/>
      </c>
      <c r="P93" s="583" t="str">
        <f t="shared" si="39"/>
        <v/>
      </c>
      <c r="Q93" s="583" t="str">
        <f t="shared" si="39"/>
        <v/>
      </c>
      <c r="R93" s="583" t="str">
        <f t="shared" si="39"/>
        <v/>
      </c>
      <c r="S93" s="583" t="str">
        <f t="shared" si="39"/>
        <v/>
      </c>
      <c r="T93" s="583" t="str">
        <f t="shared" si="39"/>
        <v/>
      </c>
      <c r="U93" s="582" t="str">
        <f t="shared" si="39"/>
        <v/>
      </c>
      <c r="V93" s="568" t="str">
        <f t="shared" si="39"/>
        <v/>
      </c>
      <c r="W93" s="568" t="str">
        <f t="shared" si="39"/>
        <v/>
      </c>
      <c r="X93" s="568" t="str">
        <f t="shared" si="39"/>
        <v/>
      </c>
      <c r="Y93" s="568" t="str">
        <f t="shared" si="39"/>
        <v/>
      </c>
      <c r="Z93" s="568" t="str">
        <f t="shared" si="39"/>
        <v/>
      </c>
      <c r="AF93" s="568" t="str">
        <f>IF(AE78,CONCATENATE(AF92,AF78),AF92)</f>
        <v/>
      </c>
    </row>
    <row r="94" spans="1:32" ht="13.5" thickBot="1">
      <c r="A94" s="578" t="s">
        <v>306</v>
      </c>
      <c r="B94" s="607">
        <f t="shared" ref="B94:Z94" si="40">IF(SUM(B83:B92)=0,"",MAX(B83:B92)-MIN(B83:B92))</f>
        <v>1.5</v>
      </c>
      <c r="C94" s="607">
        <f t="shared" si="40"/>
        <v>0.5</v>
      </c>
      <c r="D94" s="607">
        <f t="shared" si="40"/>
        <v>0</v>
      </c>
      <c r="E94" s="607">
        <f t="shared" si="40"/>
        <v>0.5</v>
      </c>
      <c r="F94" s="607">
        <f t="shared" si="40"/>
        <v>0</v>
      </c>
      <c r="G94" s="607">
        <f t="shared" si="40"/>
        <v>1</v>
      </c>
      <c r="H94" s="607">
        <f t="shared" si="40"/>
        <v>0.5</v>
      </c>
      <c r="I94" s="607">
        <f t="shared" si="40"/>
        <v>0.5</v>
      </c>
      <c r="J94" s="607">
        <f t="shared" si="40"/>
        <v>0.5</v>
      </c>
      <c r="K94" s="607">
        <f t="shared" si="40"/>
        <v>0.5</v>
      </c>
      <c r="L94" s="607" t="str">
        <f t="shared" si="40"/>
        <v/>
      </c>
      <c r="M94" s="607" t="str">
        <f t="shared" si="40"/>
        <v/>
      </c>
      <c r="N94" s="607" t="str">
        <f t="shared" si="40"/>
        <v/>
      </c>
      <c r="O94" s="607" t="str">
        <f t="shared" si="40"/>
        <v/>
      </c>
      <c r="P94" s="607" t="str">
        <f t="shared" si="40"/>
        <v/>
      </c>
      <c r="Q94" s="607" t="str">
        <f t="shared" si="40"/>
        <v/>
      </c>
      <c r="R94" s="607" t="str">
        <f t="shared" si="40"/>
        <v/>
      </c>
      <c r="S94" s="607" t="str">
        <f t="shared" si="40"/>
        <v/>
      </c>
      <c r="T94" s="607" t="str">
        <f t="shared" si="40"/>
        <v/>
      </c>
      <c r="U94" s="606" t="str">
        <f t="shared" si="40"/>
        <v/>
      </c>
      <c r="V94" s="568" t="str">
        <f t="shared" si="40"/>
        <v/>
      </c>
      <c r="W94" s="568" t="str">
        <f t="shared" si="40"/>
        <v/>
      </c>
      <c r="X94" s="568" t="str">
        <f t="shared" si="40"/>
        <v/>
      </c>
      <c r="Y94" s="568" t="str">
        <f t="shared" si="40"/>
        <v/>
      </c>
      <c r="Z94" s="568" t="str">
        <f t="shared" si="40"/>
        <v/>
      </c>
      <c r="AF94" s="568" t="str">
        <f>IF(AE79,CONCATENATE(AF93,AF79),AF93)</f>
        <v/>
      </c>
    </row>
    <row r="95" spans="1:32" ht="13.5" thickBot="1">
      <c r="A95" s="605" t="s">
        <v>311</v>
      </c>
      <c r="B95" s="604">
        <f>1+U82</f>
        <v>21</v>
      </c>
      <c r="C95" s="604">
        <f>1+B95</f>
        <v>22</v>
      </c>
      <c r="D95" s="604">
        <f>1+C95</f>
        <v>23</v>
      </c>
      <c r="E95" s="604">
        <f>1+D95</f>
        <v>24</v>
      </c>
      <c r="F95" s="603">
        <f>1+E95</f>
        <v>25</v>
      </c>
      <c r="G95" s="602"/>
      <c r="H95" s="601" t="s">
        <v>193</v>
      </c>
      <c r="I95" s="600" t="s">
        <v>186</v>
      </c>
      <c r="J95" s="599" t="s">
        <v>310</v>
      </c>
      <c r="K95" s="599" t="s">
        <v>310</v>
      </c>
      <c r="L95" s="599" t="s">
        <v>195</v>
      </c>
      <c r="M95" s="599" t="s">
        <v>309</v>
      </c>
      <c r="N95" s="599" t="s">
        <v>188</v>
      </c>
      <c r="O95" s="599" t="s">
        <v>189</v>
      </c>
      <c r="P95" s="599" t="s">
        <v>196</v>
      </c>
      <c r="Q95" s="599" t="s">
        <v>192</v>
      </c>
      <c r="R95" s="598" t="s">
        <v>192</v>
      </c>
      <c r="S95" s="599"/>
      <c r="T95" s="599"/>
      <c r="U95" s="598"/>
    </row>
    <row r="96" spans="1:32">
      <c r="A96" s="588">
        <v>1</v>
      </c>
      <c r="B96" s="597"/>
      <c r="C96" s="597"/>
      <c r="D96" s="597"/>
      <c r="E96" s="597"/>
      <c r="F96" s="596"/>
      <c r="G96" s="595" t="str">
        <f>IF(COUNT(B93:Z93)&lt;25,"Не учитывать последние значения на графиках X и R так как эти данные не обеспечены значениями выборок, выборок меньше 25","")</f>
        <v>Не учитывать последние значения на графиках X и R так как эти данные не обеспечены значениями выборок, выборок меньше 25</v>
      </c>
      <c r="H96" s="580"/>
      <c r="I96" s="580"/>
      <c r="J96" s="580"/>
      <c r="K96" s="580"/>
      <c r="L96" s="580"/>
      <c r="M96" s="580"/>
      <c r="N96" s="594"/>
      <c r="O96" s="580"/>
      <c r="P96" s="580"/>
      <c r="Q96" s="580"/>
      <c r="R96" s="580"/>
      <c r="S96" s="580"/>
      <c r="T96" s="580"/>
      <c r="U96" s="579"/>
    </row>
    <row r="97" spans="1:31">
      <c r="A97" s="588">
        <v>2</v>
      </c>
      <c r="B97" s="586"/>
      <c r="C97" s="586"/>
      <c r="D97" s="586"/>
      <c r="E97" s="586"/>
      <c r="F97" s="585"/>
      <c r="G97" s="591" t="str">
        <f ca="1">IF(T57="","",IF(AF91&lt;&gt;"",AF91,""))</f>
        <v xml:space="preserve">Вне контрольных пределов (X) - Вне контрольных пределов (R) - </v>
      </c>
      <c r="H97" s="593"/>
      <c r="I97" s="593"/>
      <c r="J97" s="593"/>
      <c r="K97" s="593"/>
      <c r="L97" s="593"/>
      <c r="M97" s="593"/>
      <c r="N97" s="593"/>
      <c r="O97" s="593"/>
      <c r="P97" s="593"/>
      <c r="Q97" s="593"/>
      <c r="R97" s="593"/>
      <c r="S97" s="593"/>
      <c r="T97" s="593"/>
      <c r="U97" s="592"/>
      <c r="AE97" s="568" t="s">
        <v>308</v>
      </c>
    </row>
    <row r="98" spans="1:31">
      <c r="A98" s="588">
        <f>IF($N$3&gt;2,3,"")</f>
        <v>3</v>
      </c>
      <c r="B98" s="586"/>
      <c r="C98" s="586"/>
      <c r="D98" s="586"/>
      <c r="E98" s="586"/>
      <c r="F98" s="585"/>
      <c r="G98" s="591" t="str">
        <f>IF(T58="","",IF(AF94&lt;&gt;"",AF94,""))</f>
        <v/>
      </c>
      <c r="H98" s="580"/>
      <c r="I98" s="580"/>
      <c r="J98" s="580"/>
      <c r="K98" s="580"/>
      <c r="L98" s="580"/>
      <c r="M98" s="580"/>
      <c r="N98" s="580"/>
      <c r="O98" s="580"/>
      <c r="P98" s="580"/>
      <c r="Q98" s="580"/>
      <c r="R98" s="580"/>
      <c r="S98" s="580"/>
      <c r="T98" s="580"/>
      <c r="U98" s="579"/>
    </row>
    <row r="99" spans="1:31">
      <c r="A99" s="588">
        <f>IF($N$3&gt;3,4,"")</f>
        <v>4</v>
      </c>
      <c r="B99" s="586"/>
      <c r="C99" s="586"/>
      <c r="D99" s="586"/>
      <c r="E99" s="586"/>
      <c r="F99" s="585"/>
      <c r="G99" s="581"/>
      <c r="H99" s="580"/>
      <c r="I99" s="580"/>
      <c r="J99" s="580"/>
      <c r="K99" s="580"/>
      <c r="L99" s="580"/>
      <c r="M99" s="580"/>
      <c r="N99" s="580"/>
      <c r="O99" s="580"/>
      <c r="P99" s="580"/>
      <c r="Q99" s="580"/>
      <c r="R99" s="580"/>
      <c r="S99" s="580"/>
      <c r="T99" s="580"/>
      <c r="U99" s="579"/>
    </row>
    <row r="100" spans="1:31">
      <c r="A100" s="588" t="str">
        <f>IF($N$3&gt;4,5,"")</f>
        <v/>
      </c>
      <c r="B100" s="586"/>
      <c r="C100" s="586"/>
      <c r="D100" s="586"/>
      <c r="E100" s="586"/>
      <c r="F100" s="585"/>
      <c r="G100" s="581"/>
      <c r="H100" s="580"/>
      <c r="I100" s="580"/>
      <c r="J100" s="580"/>
      <c r="K100" s="580"/>
      <c r="L100" s="580"/>
      <c r="M100" s="580"/>
      <c r="N100" s="580"/>
      <c r="O100" s="580"/>
      <c r="P100" s="580"/>
      <c r="Q100" s="580"/>
      <c r="R100" s="580"/>
      <c r="S100" s="580"/>
      <c r="T100" s="580"/>
      <c r="U100" s="579"/>
    </row>
    <row r="101" spans="1:31">
      <c r="A101" s="588" t="str">
        <f>IF($N$3&gt;5,6,"")</f>
        <v/>
      </c>
      <c r="B101" s="590"/>
      <c r="C101" s="590"/>
      <c r="D101" s="590"/>
      <c r="E101" s="590"/>
      <c r="F101" s="589"/>
      <c r="G101" s="581"/>
      <c r="H101" s="580"/>
      <c r="I101" s="580"/>
      <c r="J101" s="580"/>
      <c r="K101" s="580"/>
      <c r="L101" s="580"/>
      <c r="M101" s="580"/>
      <c r="N101" s="580"/>
      <c r="O101" s="580"/>
      <c r="P101" s="580"/>
      <c r="Q101" s="580"/>
      <c r="R101" s="580"/>
      <c r="S101" s="580"/>
      <c r="T101" s="580"/>
      <c r="U101" s="579"/>
    </row>
    <row r="102" spans="1:31">
      <c r="A102" s="588" t="str">
        <f>IF($N$3&gt;6,7,"")</f>
        <v/>
      </c>
      <c r="B102" s="586"/>
      <c r="C102" s="586"/>
      <c r="D102" s="586"/>
      <c r="E102" s="586"/>
      <c r="F102" s="585"/>
      <c r="G102" s="581"/>
      <c r="H102" s="580"/>
      <c r="I102" s="580"/>
      <c r="J102" s="580"/>
      <c r="K102" s="580"/>
      <c r="L102" s="580"/>
      <c r="M102" s="580"/>
      <c r="N102" s="580"/>
      <c r="O102" s="580"/>
      <c r="P102" s="580"/>
      <c r="Q102" s="580"/>
      <c r="R102" s="580"/>
      <c r="S102" s="580"/>
      <c r="T102" s="580"/>
      <c r="U102" s="579"/>
    </row>
    <row r="103" spans="1:31">
      <c r="A103" s="588" t="str">
        <f>IF($N$3&gt;7,8,"")</f>
        <v/>
      </c>
      <c r="B103" s="586"/>
      <c r="C103" s="586"/>
      <c r="D103" s="586"/>
      <c r="E103" s="586"/>
      <c r="F103" s="585"/>
      <c r="G103" s="581"/>
      <c r="H103" s="580"/>
      <c r="I103" s="580"/>
      <c r="J103" s="580"/>
      <c r="K103" s="580"/>
      <c r="L103" s="580"/>
      <c r="M103" s="580"/>
      <c r="N103" s="580"/>
      <c r="O103" s="580"/>
      <c r="P103" s="580"/>
      <c r="Q103" s="580"/>
      <c r="R103" s="580"/>
      <c r="S103" s="580"/>
      <c r="T103" s="580"/>
      <c r="U103" s="579"/>
    </row>
    <row r="104" spans="1:31">
      <c r="A104" s="588" t="str">
        <f>IF($N$3&gt;8,9,"")</f>
        <v/>
      </c>
      <c r="B104" s="586"/>
      <c r="C104" s="586"/>
      <c r="D104" s="586"/>
      <c r="E104" s="586"/>
      <c r="F104" s="585"/>
      <c r="G104" s="581"/>
      <c r="H104" s="580"/>
      <c r="I104" s="580"/>
      <c r="J104" s="580"/>
      <c r="K104" s="580"/>
      <c r="L104" s="580"/>
      <c r="M104" s="580"/>
      <c r="N104" s="580"/>
      <c r="O104" s="580"/>
      <c r="P104" s="580"/>
      <c r="Q104" s="580"/>
      <c r="R104" s="580"/>
      <c r="S104" s="580"/>
      <c r="T104" s="580"/>
      <c r="U104" s="579"/>
    </row>
    <row r="105" spans="1:31" ht="13.5" thickBot="1">
      <c r="A105" s="587" t="str">
        <f>IF($N$3&gt;9,10,"")</f>
        <v/>
      </c>
      <c r="B105" s="586"/>
      <c r="C105" s="586"/>
      <c r="D105" s="586"/>
      <c r="E105" s="586"/>
      <c r="F105" s="585"/>
      <c r="G105" s="581"/>
      <c r="H105" s="580"/>
      <c r="I105" s="580"/>
      <c r="J105" s="580"/>
      <c r="K105" s="580"/>
      <c r="L105" s="580"/>
      <c r="M105" s="580"/>
      <c r="N105" s="580"/>
      <c r="O105" s="580"/>
      <c r="P105" s="580"/>
      <c r="Q105" s="580"/>
      <c r="R105" s="580"/>
      <c r="S105" s="580"/>
      <c r="T105" s="580"/>
      <c r="U105" s="579"/>
    </row>
    <row r="106" spans="1:31">
      <c r="A106" s="584" t="s">
        <v>307</v>
      </c>
      <c r="B106" s="583" t="str">
        <f>IF(SUM(B96:B105)&lt;&gt;0,AVERAGE(B96:B105),"")</f>
        <v/>
      </c>
      <c r="C106" s="583" t="str">
        <f>IF(SUM(C96:C105)&lt;&gt;0,AVERAGE(C96:C105),"")</f>
        <v/>
      </c>
      <c r="D106" s="583" t="str">
        <f>IF(SUM(D96:D105)&lt;&gt;0,AVERAGE(D96:D105),"")</f>
        <v/>
      </c>
      <c r="E106" s="583" t="str">
        <f>IF(SUM(E96:E105)&lt;&gt;0,AVERAGE(E96:E105),"")</f>
        <v/>
      </c>
      <c r="F106" s="582" t="str">
        <f>IF(SUM(F96:F105)&lt;&gt;0,AVERAGE(F96:F105),"")</f>
        <v/>
      </c>
      <c r="G106" s="581"/>
      <c r="H106" s="580"/>
      <c r="I106" s="580"/>
      <c r="J106" s="580"/>
      <c r="K106" s="580"/>
      <c r="L106" s="580"/>
      <c r="M106" s="580"/>
      <c r="N106" s="580"/>
      <c r="O106" s="580"/>
      <c r="P106" s="580"/>
      <c r="Q106" s="580"/>
      <c r="R106" s="580"/>
      <c r="S106" s="580"/>
      <c r="T106" s="580"/>
      <c r="U106" s="579"/>
    </row>
    <row r="107" spans="1:31" ht="13.5" thickBot="1">
      <c r="A107" s="578" t="s">
        <v>306</v>
      </c>
      <c r="B107" s="577" t="str">
        <f>IF(SUM(B96:B105)=0,"",MAX(B96:B105)-MIN(B96:B105))</f>
        <v/>
      </c>
      <c r="C107" s="577" t="str">
        <f>IF(SUM(C96:C105)=0,"",MAX(C96:C105)-MIN(C96:C105))</f>
        <v/>
      </c>
      <c r="D107" s="577" t="str">
        <f>IF(SUM(D96:D105)=0,"",MAX(D96:D105)-MIN(D96:D105))</f>
        <v/>
      </c>
      <c r="E107" s="577" t="str">
        <f>IF(SUM(E96:E105)=0,"",MAX(E96:E105)-MIN(E96:E105))</f>
        <v/>
      </c>
      <c r="F107" s="576" t="str">
        <f>IF(SUM(F96:F105)=0,"",MAX(F96:F105)-MIN(F96:F105))</f>
        <v/>
      </c>
      <c r="G107" s="575"/>
      <c r="H107" s="574"/>
      <c r="I107" s="574"/>
      <c r="J107" s="574"/>
      <c r="K107" s="574"/>
      <c r="L107" s="574"/>
      <c r="M107" s="574"/>
      <c r="N107" s="574"/>
      <c r="O107" s="574"/>
      <c r="P107" s="574"/>
      <c r="Q107" s="574"/>
      <c r="R107" s="574"/>
      <c r="S107" s="574"/>
      <c r="T107" s="574"/>
      <c r="U107" s="573"/>
    </row>
    <row r="108" spans="1:31">
      <c r="A108" s="572"/>
      <c r="B108" s="571"/>
      <c r="C108" s="571"/>
      <c r="D108" s="571"/>
      <c r="E108" s="571"/>
      <c r="F108" s="571"/>
      <c r="G108" s="571"/>
      <c r="H108" s="571"/>
      <c r="I108" s="571"/>
      <c r="J108" s="571"/>
      <c r="K108" s="571"/>
      <c r="L108" s="571"/>
      <c r="M108" s="571"/>
      <c r="N108" s="571"/>
      <c r="O108" s="571"/>
      <c r="P108" s="571"/>
      <c r="Q108" s="571"/>
      <c r="R108" s="571"/>
      <c r="S108" s="571"/>
      <c r="T108" s="571"/>
      <c r="U108" s="571"/>
    </row>
  </sheetData>
  <sheetProtection password="CC1A" sheet="1" objects="1" scenarios="1"/>
  <protectedRanges>
    <protectedRange sqref="I7:I8 L6:O8 D5 E6:E9 K5:K8 N5 N3" name="Range3"/>
    <protectedRange sqref="E8" name="Range1"/>
    <protectedRange sqref="K7" name="Range2"/>
  </protectedRanges>
  <printOptions horizontalCentered="1" verticalCentered="1"/>
  <pageMargins left="0.25" right="0.25" top="0.25" bottom="0.25" header="0.25" footer="0.25"/>
  <pageSetup scale="72" fitToHeight="2" orientation="landscape" horizontalDpi="300" verticalDpi="300" r:id="rId1"/>
  <headerFooter alignWithMargins="0">
    <oddFooter>Page &amp;P&amp;RCapability.xls</oddFooter>
  </headerFooter>
  <rowBreaks count="1" manualBreakCount="1">
    <brk id="54" max="65535" man="1"/>
  </rowBreaks>
  <customProperties>
    <customPr name="Ibp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44049" r:id="rId5" name="Option Button 17">
              <controlPr defaultSize="0" autoFill="0" autoLine="0" autoPict="0">
                <anchor moveWithCells="1">
                  <from>
                    <xdr:col>0</xdr:col>
                    <xdr:colOff>0</xdr:colOff>
                    <xdr:row>2</xdr:row>
                    <xdr:rowOff>28575</xdr:rowOff>
                  </from>
                  <to>
                    <xdr:col>2</xdr:col>
                    <xdr:colOff>571500</xdr:colOff>
                    <xdr:row>2</xdr:row>
                    <xdr:rowOff>247650</xdr:rowOff>
                  </to>
                </anchor>
              </controlPr>
            </control>
          </mc:Choice>
        </mc:AlternateContent>
        <mc:AlternateContent xmlns:mc="http://schemas.openxmlformats.org/markup-compatibility/2006">
          <mc:Choice Requires="x14">
            <control shapeId="44050" r:id="rId6" name="Option Button 18">
              <controlPr locked="0" defaultSize="0" autoFill="0" autoLine="0" autoPict="0">
                <anchor moveWithCells="1">
                  <from>
                    <xdr:col>2</xdr:col>
                    <xdr:colOff>571500</xdr:colOff>
                    <xdr:row>2</xdr:row>
                    <xdr:rowOff>28575</xdr:rowOff>
                  </from>
                  <to>
                    <xdr:col>5</xdr:col>
                    <xdr:colOff>485775</xdr:colOff>
                    <xdr:row>2</xdr:row>
                    <xdr:rowOff>247650</xdr:rowOff>
                  </to>
                </anchor>
              </controlPr>
            </control>
          </mc:Choice>
        </mc:AlternateContent>
        <mc:AlternateContent xmlns:mc="http://schemas.openxmlformats.org/markup-compatibility/2006">
          <mc:Choice Requires="x14">
            <control shapeId="44051" r:id="rId7" name="Option Button 19">
              <controlPr locked="0" defaultSize="0" autoFill="0" autoLine="0" autoPict="0">
                <anchor moveWithCells="1">
                  <from>
                    <xdr:col>6</xdr:col>
                    <xdr:colOff>0</xdr:colOff>
                    <xdr:row>2</xdr:row>
                    <xdr:rowOff>28575</xdr:rowOff>
                  </from>
                  <to>
                    <xdr:col>8</xdr:col>
                    <xdr:colOff>485775</xdr:colOff>
                    <xdr:row>2</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showGridLines="0" zoomScale="125" workbookViewId="0">
      <selection activeCell="A5" sqref="A5:XFD5"/>
    </sheetView>
  </sheetViews>
  <sheetFormatPr defaultRowHeight="12.75"/>
  <cols>
    <col min="1" max="1" width="9.140625" style="23"/>
    <col min="2" max="3" width="35.7109375" style="23" customWidth="1"/>
    <col min="4" max="5" width="8.7109375" style="23" customWidth="1"/>
    <col min="6" max="6" width="9.140625" style="202" hidden="1" customWidth="1"/>
    <col min="7" max="16384" width="9.140625" style="23"/>
  </cols>
  <sheetData>
    <row r="1" spans="1:6" ht="9.75" customHeight="1">
      <c r="A1" s="3"/>
      <c r="B1" s="3"/>
      <c r="C1" s="3"/>
      <c r="D1" s="3"/>
      <c r="E1" s="3"/>
      <c r="F1" s="246" t="b">
        <v>1</v>
      </c>
    </row>
    <row r="2" spans="1:6" ht="16.5" customHeight="1">
      <c r="A2" s="3"/>
      <c r="B2" s="3"/>
      <c r="C2" s="3"/>
      <c r="D2" s="3"/>
      <c r="E2" s="3"/>
      <c r="F2" s="188"/>
    </row>
    <row r="3" spans="1:6" ht="16.5" customHeight="1">
      <c r="A3" s="3"/>
      <c r="B3" s="3"/>
      <c r="C3" s="3"/>
      <c r="D3" s="3"/>
      <c r="E3" s="3"/>
      <c r="F3" s="188"/>
    </row>
    <row r="4" spans="1:6">
      <c r="A4" s="3"/>
      <c r="B4" s="3"/>
      <c r="C4" s="3"/>
      <c r="D4" s="13"/>
      <c r="E4" s="13"/>
      <c r="F4" s="184" t="s">
        <v>2</v>
      </c>
    </row>
    <row r="5" spans="1:6" s="24" customFormat="1" ht="11.25">
      <c r="A5" s="27"/>
      <c r="B5" s="27"/>
      <c r="C5" s="27" t="s">
        <v>99</v>
      </c>
      <c r="D5" s="265" t="s">
        <v>100</v>
      </c>
      <c r="E5" s="5"/>
      <c r="F5" s="184" t="s">
        <v>5</v>
      </c>
    </row>
    <row r="6" spans="1:6">
      <c r="A6" s="27"/>
      <c r="B6" s="27"/>
      <c r="C6" s="27"/>
      <c r="D6" s="351"/>
      <c r="E6" s="10"/>
      <c r="F6" s="184" t="s">
        <v>10</v>
      </c>
    </row>
    <row r="7" spans="1:6" s="24" customFormat="1" ht="11.25">
      <c r="A7" s="257" t="s">
        <v>98</v>
      </c>
      <c r="B7" s="266"/>
      <c r="C7" s="257" t="s">
        <v>254</v>
      </c>
      <c r="D7" s="265"/>
      <c r="E7" s="12"/>
      <c r="F7" s="201"/>
    </row>
    <row r="8" spans="1:6">
      <c r="A8" s="156"/>
      <c r="B8" s="268"/>
      <c r="C8" s="156"/>
      <c r="D8" s="145"/>
      <c r="E8" s="11"/>
    </row>
    <row r="9" spans="1:6" s="24" customFormat="1" ht="11.25">
      <c r="A9" s="257" t="s">
        <v>207</v>
      </c>
      <c r="B9" s="266"/>
      <c r="C9" s="257" t="s">
        <v>256</v>
      </c>
      <c r="D9" s="258"/>
      <c r="E9" s="8"/>
      <c r="F9" s="201"/>
    </row>
    <row r="10" spans="1:6" ht="13.5" thickBot="1">
      <c r="A10" s="156"/>
      <c r="B10" s="268"/>
      <c r="C10" s="156"/>
      <c r="D10" s="145"/>
      <c r="E10" s="11"/>
    </row>
    <row r="11" spans="1:6" s="207" customFormat="1" ht="24">
      <c r="A11" s="354" t="s">
        <v>101</v>
      </c>
      <c r="B11" s="355" t="s">
        <v>102</v>
      </c>
      <c r="C11" s="355" t="s">
        <v>103</v>
      </c>
      <c r="D11" s="355" t="s">
        <v>25</v>
      </c>
      <c r="E11" s="356" t="s">
        <v>26</v>
      </c>
      <c r="F11" s="244"/>
    </row>
    <row r="12" spans="1:6" s="211" customFormat="1">
      <c r="A12" s="212"/>
      <c r="B12" s="213"/>
      <c r="C12" s="213"/>
      <c r="D12" s="213"/>
      <c r="E12" s="214"/>
      <c r="F12" s="245"/>
    </row>
    <row r="13" spans="1:6" s="211" customFormat="1">
      <c r="A13" s="212"/>
      <c r="B13" s="213"/>
      <c r="C13" s="213"/>
      <c r="D13" s="213"/>
      <c r="E13" s="214"/>
      <c r="F13" s="245"/>
    </row>
    <row r="14" spans="1:6" s="211" customFormat="1">
      <c r="A14" s="212"/>
      <c r="B14" s="213"/>
      <c r="C14" s="213"/>
      <c r="D14" s="213"/>
      <c r="E14" s="214"/>
      <c r="F14" s="245"/>
    </row>
    <row r="15" spans="1:6" s="211" customFormat="1">
      <c r="A15" s="212"/>
      <c r="B15" s="213"/>
      <c r="C15" s="213"/>
      <c r="D15" s="213"/>
      <c r="E15" s="214"/>
      <c r="F15" s="245"/>
    </row>
    <row r="16" spans="1:6" s="211" customFormat="1">
      <c r="A16" s="212"/>
      <c r="B16" s="213"/>
      <c r="C16" s="213"/>
      <c r="D16" s="213"/>
      <c r="E16" s="214"/>
      <c r="F16" s="245"/>
    </row>
    <row r="17" spans="1:6" s="211" customFormat="1">
      <c r="A17" s="212"/>
      <c r="B17" s="213"/>
      <c r="C17" s="213"/>
      <c r="D17" s="213"/>
      <c r="E17" s="214"/>
      <c r="F17" s="245"/>
    </row>
    <row r="18" spans="1:6" s="211" customFormat="1">
      <c r="A18" s="212"/>
      <c r="B18" s="213"/>
      <c r="C18" s="213"/>
      <c r="D18" s="213"/>
      <c r="E18" s="214"/>
      <c r="F18" s="245"/>
    </row>
    <row r="19" spans="1:6" s="211" customFormat="1">
      <c r="A19" s="212"/>
      <c r="B19" s="213"/>
      <c r="C19" s="213"/>
      <c r="D19" s="213"/>
      <c r="E19" s="214"/>
      <c r="F19" s="245"/>
    </row>
    <row r="20" spans="1:6" s="211" customFormat="1">
      <c r="A20" s="212"/>
      <c r="B20" s="213"/>
      <c r="C20" s="213"/>
      <c r="D20" s="213"/>
      <c r="E20" s="214"/>
      <c r="F20" s="245"/>
    </row>
    <row r="21" spans="1:6" s="211" customFormat="1">
      <c r="A21" s="212"/>
      <c r="B21" s="213"/>
      <c r="C21" s="213"/>
      <c r="D21" s="213"/>
      <c r="E21" s="214"/>
      <c r="F21" s="245"/>
    </row>
    <row r="22" spans="1:6" s="211" customFormat="1">
      <c r="A22" s="212"/>
      <c r="B22" s="213"/>
      <c r="C22" s="213"/>
      <c r="D22" s="213"/>
      <c r="E22" s="214"/>
      <c r="F22" s="245"/>
    </row>
    <row r="23" spans="1:6" s="211" customFormat="1">
      <c r="A23" s="212"/>
      <c r="B23" s="213"/>
      <c r="C23" s="213"/>
      <c r="D23" s="213"/>
      <c r="E23" s="214"/>
      <c r="F23" s="245"/>
    </row>
    <row r="24" spans="1:6" s="211" customFormat="1">
      <c r="A24" s="212"/>
      <c r="B24" s="213"/>
      <c r="C24" s="213"/>
      <c r="D24" s="213"/>
      <c r="E24" s="214"/>
      <c r="F24" s="245"/>
    </row>
    <row r="25" spans="1:6" s="211" customFormat="1">
      <c r="A25" s="212"/>
      <c r="B25" s="213"/>
      <c r="C25" s="213"/>
      <c r="D25" s="213"/>
      <c r="E25" s="214"/>
      <c r="F25" s="245"/>
    </row>
    <row r="26" spans="1:6" s="211" customFormat="1">
      <c r="A26" s="212"/>
      <c r="B26" s="213"/>
      <c r="C26" s="213"/>
      <c r="D26" s="213"/>
      <c r="E26" s="214"/>
      <c r="F26" s="245"/>
    </row>
    <row r="27" spans="1:6" s="211" customFormat="1">
      <c r="A27" s="212"/>
      <c r="B27" s="213"/>
      <c r="C27" s="213"/>
      <c r="D27" s="213"/>
      <c r="E27" s="214"/>
      <c r="F27" s="245"/>
    </row>
    <row r="28" spans="1:6" s="211" customFormat="1">
      <c r="A28" s="212"/>
      <c r="B28" s="213"/>
      <c r="C28" s="213"/>
      <c r="D28" s="213"/>
      <c r="E28" s="214"/>
      <c r="F28" s="245"/>
    </row>
    <row r="29" spans="1:6" s="211" customFormat="1">
      <c r="A29" s="212"/>
      <c r="B29" s="213"/>
      <c r="C29" s="213"/>
      <c r="D29" s="213"/>
      <c r="E29" s="214"/>
      <c r="F29" s="245"/>
    </row>
    <row r="30" spans="1:6" s="211" customFormat="1">
      <c r="A30" s="212"/>
      <c r="B30" s="213"/>
      <c r="C30" s="213"/>
      <c r="D30" s="213"/>
      <c r="E30" s="214"/>
      <c r="F30" s="245"/>
    </row>
    <row r="31" spans="1:6" s="211" customFormat="1">
      <c r="A31" s="212"/>
      <c r="B31" s="213"/>
      <c r="C31" s="213"/>
      <c r="D31" s="213"/>
      <c r="E31" s="214"/>
      <c r="F31" s="245"/>
    </row>
    <row r="32" spans="1:6" s="211" customFormat="1">
      <c r="A32" s="212"/>
      <c r="B32" s="213"/>
      <c r="C32" s="213"/>
      <c r="D32" s="213"/>
      <c r="E32" s="214"/>
      <c r="F32" s="245"/>
    </row>
    <row r="33" spans="1:6" s="211" customFormat="1">
      <c r="A33" s="212"/>
      <c r="B33" s="213"/>
      <c r="C33" s="213"/>
      <c r="D33" s="213"/>
      <c r="E33" s="214"/>
      <c r="F33" s="245"/>
    </row>
    <row r="34" spans="1:6" s="211" customFormat="1">
      <c r="A34" s="212"/>
      <c r="B34" s="213"/>
      <c r="C34" s="213"/>
      <c r="D34" s="213"/>
      <c r="E34" s="214"/>
      <c r="F34" s="245"/>
    </row>
    <row r="35" spans="1:6" s="211" customFormat="1">
      <c r="A35" s="212"/>
      <c r="B35" s="213"/>
      <c r="C35" s="213"/>
      <c r="D35" s="213"/>
      <c r="E35" s="214"/>
      <c r="F35" s="245"/>
    </row>
    <row r="36" spans="1:6" s="211" customFormat="1">
      <c r="A36" s="212"/>
      <c r="B36" s="213"/>
      <c r="C36" s="213"/>
      <c r="D36" s="213"/>
      <c r="E36" s="214"/>
      <c r="F36" s="245"/>
    </row>
    <row r="37" spans="1:6" s="211" customFormat="1">
      <c r="A37" s="212"/>
      <c r="B37" s="213"/>
      <c r="C37" s="213"/>
      <c r="D37" s="213"/>
      <c r="E37" s="214"/>
      <c r="F37" s="245"/>
    </row>
    <row r="38" spans="1:6" s="211" customFormat="1">
      <c r="A38" s="212"/>
      <c r="B38" s="213"/>
      <c r="C38" s="213"/>
      <c r="D38" s="213"/>
      <c r="E38" s="214"/>
      <c r="F38" s="245"/>
    </row>
    <row r="39" spans="1:6" s="211" customFormat="1">
      <c r="A39" s="212"/>
      <c r="B39" s="213"/>
      <c r="C39" s="213"/>
      <c r="D39" s="213"/>
      <c r="E39" s="214"/>
      <c r="F39" s="245"/>
    </row>
    <row r="40" spans="1:6" s="211" customFormat="1">
      <c r="A40" s="212"/>
      <c r="B40" s="213"/>
      <c r="C40" s="213"/>
      <c r="D40" s="213"/>
      <c r="E40" s="214"/>
      <c r="F40" s="245"/>
    </row>
    <row r="41" spans="1:6" s="211" customFormat="1">
      <c r="A41" s="212"/>
      <c r="B41" s="213"/>
      <c r="C41" s="213"/>
      <c r="D41" s="213"/>
      <c r="E41" s="214"/>
      <c r="F41" s="245"/>
    </row>
    <row r="42" spans="1:6" s="211" customFormat="1">
      <c r="A42" s="212"/>
      <c r="B42" s="213"/>
      <c r="C42" s="213"/>
      <c r="D42" s="213"/>
      <c r="E42" s="214"/>
      <c r="F42" s="245"/>
    </row>
    <row r="43" spans="1:6" s="211" customFormat="1">
      <c r="A43" s="212"/>
      <c r="B43" s="213"/>
      <c r="C43" s="213"/>
      <c r="D43" s="213"/>
      <c r="E43" s="214"/>
      <c r="F43" s="245"/>
    </row>
    <row r="44" spans="1:6" s="211" customFormat="1">
      <c r="A44" s="212"/>
      <c r="B44" s="213"/>
      <c r="C44" s="213"/>
      <c r="D44" s="213"/>
      <c r="E44" s="214"/>
      <c r="F44" s="245"/>
    </row>
    <row r="45" spans="1:6" s="211" customFormat="1">
      <c r="A45" s="212"/>
      <c r="B45" s="213"/>
      <c r="C45" s="213"/>
      <c r="D45" s="213"/>
      <c r="E45" s="214"/>
      <c r="F45" s="245"/>
    </row>
    <row r="46" spans="1:6" s="211" customFormat="1">
      <c r="A46" s="212"/>
      <c r="B46" s="213"/>
      <c r="C46" s="213"/>
      <c r="D46" s="213"/>
      <c r="E46" s="214"/>
      <c r="F46" s="245"/>
    </row>
    <row r="47" spans="1:6" s="211" customFormat="1">
      <c r="A47" s="212"/>
      <c r="B47" s="213"/>
      <c r="C47" s="213"/>
      <c r="D47" s="213"/>
      <c r="E47" s="214"/>
      <c r="F47" s="245"/>
    </row>
    <row r="48" spans="1:6" s="211" customFormat="1">
      <c r="A48" s="212"/>
      <c r="B48" s="213"/>
      <c r="C48" s="213"/>
      <c r="D48" s="213"/>
      <c r="E48" s="214"/>
      <c r="F48" s="245"/>
    </row>
    <row r="49" spans="1:6" s="211" customFormat="1" ht="13.5" thickBot="1">
      <c r="A49" s="215"/>
      <c r="B49" s="216"/>
      <c r="C49" s="216"/>
      <c r="D49" s="216"/>
      <c r="E49" s="217"/>
      <c r="F49" s="245"/>
    </row>
    <row r="50" spans="1:6">
      <c r="A50" s="3"/>
      <c r="B50" s="352"/>
      <c r="C50" s="352"/>
      <c r="D50" s="352"/>
      <c r="E50" s="3"/>
    </row>
    <row r="51" spans="1:6" s="24" customFormat="1" ht="11.25">
      <c r="A51" s="172"/>
      <c r="B51" s="353" t="s">
        <v>76</v>
      </c>
      <c r="C51" s="353" t="s">
        <v>35</v>
      </c>
      <c r="D51" s="299" t="s">
        <v>27</v>
      </c>
      <c r="E51" s="8"/>
      <c r="F51" s="201"/>
    </row>
    <row r="52" spans="1:6">
      <c r="A52" s="3"/>
      <c r="B52" s="219"/>
      <c r="C52" s="219"/>
      <c r="D52" s="218"/>
      <c r="E52" s="198"/>
    </row>
  </sheetData>
  <phoneticPr fontId="16" type="noConversion"/>
  <pageMargins left="0.39370078740157483" right="0.31496062992125984" top="0.6692913385826772" bottom="0.70866141732283472" header="0.39370078740157483" footer="0.51181102362204722"/>
  <pageSetup orientation="portrait" r:id="rId1"/>
  <headerFooter alignWithMargins="0">
    <oddHeader>&amp;R
&amp;P of &amp;N</oddHeader>
    <oddFooter>Страница &amp;P&amp;RProduction Part Approval Process</oddFooter>
  </headerFooter>
  <customProperties>
    <customPr name="Ibp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showGridLines="0" topLeftCell="A37" workbookViewId="0">
      <selection activeCell="E21" sqref="E21"/>
    </sheetView>
  </sheetViews>
  <sheetFormatPr defaultRowHeight="12.75"/>
  <cols>
    <col min="1" max="1" width="9.140625" style="23"/>
    <col min="2" max="2" width="35.7109375" style="23" customWidth="1"/>
    <col min="3" max="4" width="12.7109375" style="23" customWidth="1"/>
    <col min="5" max="5" width="35.7109375" style="23" customWidth="1"/>
    <col min="6" max="7" width="8.7109375" style="23" customWidth="1"/>
    <col min="8" max="8" width="9.140625" style="23" hidden="1" customWidth="1"/>
    <col min="9" max="16384" width="9.140625" style="23"/>
  </cols>
  <sheetData>
    <row r="1" spans="1:9">
      <c r="A1" s="3"/>
      <c r="B1" s="3"/>
      <c r="C1" s="3"/>
      <c r="D1" s="3"/>
      <c r="E1" s="3"/>
      <c r="F1" s="3"/>
      <c r="G1" s="3"/>
      <c r="H1" s="246" t="b">
        <v>0</v>
      </c>
      <c r="I1" s="29"/>
    </row>
    <row r="2" spans="1:9" ht="15" customHeight="1">
      <c r="A2" s="3"/>
      <c r="B2" s="3"/>
      <c r="C2" s="3"/>
      <c r="D2" s="3"/>
      <c r="E2" s="3"/>
      <c r="F2" s="3"/>
      <c r="G2" s="3"/>
      <c r="H2" s="188"/>
    </row>
    <row r="3" spans="1:9">
      <c r="A3" s="298"/>
      <c r="B3" s="298"/>
      <c r="C3" s="298"/>
      <c r="D3" s="298"/>
      <c r="E3" s="298"/>
      <c r="F3" s="298"/>
      <c r="G3" s="13"/>
      <c r="H3" s="184" t="s">
        <v>2</v>
      </c>
    </row>
    <row r="4" spans="1:9" s="24" customFormat="1" ht="11.25">
      <c r="A4" s="298"/>
      <c r="B4" s="298"/>
      <c r="C4" s="298"/>
      <c r="D4" s="298"/>
      <c r="E4" s="27" t="s">
        <v>99</v>
      </c>
      <c r="F4" s="265" t="s">
        <v>100</v>
      </c>
      <c r="G4" s="298"/>
      <c r="H4" s="184" t="s">
        <v>5</v>
      </c>
    </row>
    <row r="5" spans="1:9">
      <c r="A5" s="298"/>
      <c r="B5" s="298"/>
      <c r="C5" s="298"/>
      <c r="D5" s="298"/>
      <c r="E5" s="298"/>
      <c r="F5" s="275"/>
      <c r="G5" s="275"/>
      <c r="H5" s="184"/>
    </row>
    <row r="6" spans="1:9" s="24" customFormat="1" ht="11.25">
      <c r="A6" s="299" t="s">
        <v>98</v>
      </c>
      <c r="B6" s="300"/>
      <c r="C6" s="301"/>
      <c r="D6" s="523" t="s">
        <v>254</v>
      </c>
      <c r="E6" s="300"/>
      <c r="F6" s="298"/>
      <c r="G6" s="358"/>
    </row>
    <row r="7" spans="1:9">
      <c r="A7" s="302"/>
      <c r="B7" s="275"/>
      <c r="C7" s="303"/>
      <c r="D7" s="302"/>
      <c r="E7" s="304"/>
      <c r="F7" s="275"/>
      <c r="G7" s="303"/>
    </row>
    <row r="8" spans="1:9" s="24" customFormat="1" ht="11.25">
      <c r="A8" s="299" t="s">
        <v>107</v>
      </c>
      <c r="B8" s="300"/>
      <c r="C8" s="301"/>
      <c r="D8" s="523" t="s">
        <v>256</v>
      </c>
      <c r="E8" s="300"/>
      <c r="F8" s="300"/>
      <c r="G8" s="301"/>
    </row>
    <row r="9" spans="1:9" ht="13.5" thickBot="1">
      <c r="A9" s="302"/>
      <c r="B9" s="275"/>
      <c r="C9" s="303"/>
      <c r="D9" s="302"/>
      <c r="E9" s="304"/>
      <c r="F9" s="275"/>
      <c r="G9" s="303"/>
    </row>
    <row r="10" spans="1:9" s="207" customFormat="1" ht="25.5">
      <c r="A10" s="208" t="s">
        <v>108</v>
      </c>
      <c r="B10" s="209" t="s">
        <v>109</v>
      </c>
      <c r="C10" s="209" t="s">
        <v>110</v>
      </c>
      <c r="D10" s="209" t="s">
        <v>111</v>
      </c>
      <c r="E10" s="209" t="s">
        <v>112</v>
      </c>
      <c r="F10" s="209" t="s">
        <v>25</v>
      </c>
      <c r="G10" s="210" t="s">
        <v>26</v>
      </c>
    </row>
    <row r="11" spans="1:9" s="211" customFormat="1">
      <c r="A11" s="212"/>
      <c r="B11" s="213"/>
      <c r="C11" s="213"/>
      <c r="D11" s="213"/>
      <c r="E11" s="213"/>
      <c r="F11" s="213"/>
      <c r="G11" s="214"/>
    </row>
    <row r="12" spans="1:9" s="211" customFormat="1">
      <c r="A12" s="212"/>
      <c r="B12" s="213"/>
      <c r="C12" s="213"/>
      <c r="D12" s="213"/>
      <c r="E12" s="213"/>
      <c r="F12" s="213"/>
      <c r="G12" s="214"/>
    </row>
    <row r="13" spans="1:9" s="211" customFormat="1">
      <c r="A13" s="212"/>
      <c r="B13" s="213"/>
      <c r="C13" s="213"/>
      <c r="D13" s="213"/>
      <c r="E13" s="213"/>
      <c r="F13" s="213"/>
      <c r="G13" s="214"/>
    </row>
    <row r="14" spans="1:9" s="211" customFormat="1">
      <c r="A14" s="212"/>
      <c r="B14" s="213"/>
      <c r="C14" s="213"/>
      <c r="D14" s="213"/>
      <c r="E14" s="213"/>
      <c r="F14" s="213"/>
      <c r="G14" s="214"/>
    </row>
    <row r="15" spans="1:9" s="211" customFormat="1">
      <c r="A15" s="212"/>
      <c r="B15" s="213"/>
      <c r="C15" s="213"/>
      <c r="D15" s="213"/>
      <c r="E15" s="213"/>
      <c r="F15" s="213"/>
      <c r="G15" s="214"/>
    </row>
    <row r="16" spans="1:9" s="211" customFormat="1">
      <c r="A16" s="212"/>
      <c r="B16" s="213"/>
      <c r="C16" s="213"/>
      <c r="D16" s="213"/>
      <c r="E16" s="213"/>
      <c r="F16" s="213"/>
      <c r="G16" s="214"/>
    </row>
    <row r="17" spans="1:7" s="211" customFormat="1">
      <c r="A17" s="212"/>
      <c r="B17" s="213"/>
      <c r="C17" s="213"/>
      <c r="D17" s="213"/>
      <c r="E17" s="213"/>
      <c r="F17" s="213"/>
      <c r="G17" s="214"/>
    </row>
    <row r="18" spans="1:7" s="211" customFormat="1">
      <c r="A18" s="212"/>
      <c r="B18" s="213"/>
      <c r="C18" s="213"/>
      <c r="D18" s="213"/>
      <c r="E18" s="213"/>
      <c r="F18" s="213"/>
      <c r="G18" s="214"/>
    </row>
    <row r="19" spans="1:7" s="211" customFormat="1">
      <c r="A19" s="212"/>
      <c r="B19" s="213"/>
      <c r="C19" s="213"/>
      <c r="D19" s="213"/>
      <c r="E19" s="213"/>
      <c r="F19" s="213"/>
      <c r="G19" s="214"/>
    </row>
    <row r="20" spans="1:7" s="211" customFormat="1">
      <c r="A20" s="212"/>
      <c r="B20" s="213"/>
      <c r="C20" s="213"/>
      <c r="D20" s="213"/>
      <c r="E20" s="213"/>
      <c r="F20" s="213"/>
      <c r="G20" s="214"/>
    </row>
    <row r="21" spans="1:7" s="211" customFormat="1">
      <c r="A21" s="212"/>
      <c r="B21" s="213"/>
      <c r="C21" s="213"/>
      <c r="D21" s="213"/>
      <c r="E21" s="213"/>
      <c r="F21" s="213"/>
      <c r="G21" s="214"/>
    </row>
    <row r="22" spans="1:7" s="211" customFormat="1">
      <c r="A22" s="212"/>
      <c r="B22" s="213"/>
      <c r="C22" s="213"/>
      <c r="D22" s="213"/>
      <c r="E22" s="213"/>
      <c r="F22" s="213"/>
      <c r="G22" s="214"/>
    </row>
    <row r="23" spans="1:7" s="211" customFormat="1">
      <c r="A23" s="212"/>
      <c r="B23" s="213"/>
      <c r="C23" s="213"/>
      <c r="D23" s="213"/>
      <c r="E23" s="213"/>
      <c r="F23" s="213"/>
      <c r="G23" s="214"/>
    </row>
    <row r="24" spans="1:7" s="211" customFormat="1">
      <c r="A24" s="212"/>
      <c r="B24" s="213"/>
      <c r="C24" s="213"/>
      <c r="D24" s="213"/>
      <c r="E24" s="213"/>
      <c r="F24" s="213"/>
      <c r="G24" s="214"/>
    </row>
    <row r="25" spans="1:7" s="211" customFormat="1">
      <c r="A25" s="212"/>
      <c r="B25" s="213"/>
      <c r="C25" s="213"/>
      <c r="D25" s="213"/>
      <c r="E25" s="213"/>
      <c r="F25" s="213"/>
      <c r="G25" s="214"/>
    </row>
    <row r="26" spans="1:7" s="211" customFormat="1">
      <c r="A26" s="212"/>
      <c r="B26" s="213"/>
      <c r="C26" s="213"/>
      <c r="D26" s="213"/>
      <c r="E26" s="213"/>
      <c r="F26" s="213"/>
      <c r="G26" s="214"/>
    </row>
    <row r="27" spans="1:7" s="211" customFormat="1">
      <c r="A27" s="212"/>
      <c r="B27" s="213"/>
      <c r="C27" s="213"/>
      <c r="D27" s="213"/>
      <c r="E27" s="213"/>
      <c r="F27" s="213"/>
      <c r="G27" s="214"/>
    </row>
    <row r="28" spans="1:7" s="211" customFormat="1">
      <c r="A28" s="212"/>
      <c r="B28" s="213"/>
      <c r="C28" s="213"/>
      <c r="D28" s="213"/>
      <c r="E28" s="213"/>
      <c r="F28" s="213"/>
      <c r="G28" s="214"/>
    </row>
    <row r="29" spans="1:7" s="211" customFormat="1">
      <c r="A29" s="212"/>
      <c r="B29" s="213"/>
      <c r="C29" s="213"/>
      <c r="D29" s="213"/>
      <c r="E29" s="213"/>
      <c r="F29" s="213"/>
      <c r="G29" s="214"/>
    </row>
    <row r="30" spans="1:7" s="211" customFormat="1">
      <c r="A30" s="212"/>
      <c r="B30" s="213"/>
      <c r="C30" s="213"/>
      <c r="D30" s="213"/>
      <c r="E30" s="213"/>
      <c r="F30" s="213"/>
      <c r="G30" s="214"/>
    </row>
    <row r="31" spans="1:7" s="211" customFormat="1">
      <c r="A31" s="212"/>
      <c r="B31" s="213"/>
      <c r="C31" s="213"/>
      <c r="D31" s="213"/>
      <c r="E31" s="213"/>
      <c r="F31" s="213"/>
      <c r="G31" s="214"/>
    </row>
    <row r="32" spans="1:7" s="211" customFormat="1">
      <c r="A32" s="212"/>
      <c r="B32" s="213"/>
      <c r="C32" s="213"/>
      <c r="D32" s="213"/>
      <c r="E32" s="213"/>
      <c r="F32" s="213"/>
      <c r="G32" s="214"/>
    </row>
    <row r="33" spans="1:7" s="211" customFormat="1">
      <c r="A33" s="212"/>
      <c r="B33" s="213"/>
      <c r="C33" s="213"/>
      <c r="D33" s="213"/>
      <c r="E33" s="213"/>
      <c r="F33" s="213"/>
      <c r="G33" s="214"/>
    </row>
    <row r="34" spans="1:7" s="211" customFormat="1">
      <c r="A34" s="212"/>
      <c r="B34" s="213"/>
      <c r="C34" s="213"/>
      <c r="D34" s="213"/>
      <c r="E34" s="213"/>
      <c r="F34" s="213"/>
      <c r="G34" s="214"/>
    </row>
    <row r="35" spans="1:7" s="211" customFormat="1">
      <c r="A35" s="212"/>
      <c r="B35" s="213"/>
      <c r="C35" s="213"/>
      <c r="D35" s="213"/>
      <c r="E35" s="213"/>
      <c r="F35" s="213"/>
      <c r="G35" s="214"/>
    </row>
    <row r="36" spans="1:7" s="211" customFormat="1">
      <c r="A36" s="212"/>
      <c r="B36" s="213"/>
      <c r="C36" s="213"/>
      <c r="D36" s="213"/>
      <c r="E36" s="213"/>
      <c r="F36" s="213"/>
      <c r="G36" s="214"/>
    </row>
    <row r="37" spans="1:7" s="211" customFormat="1">
      <c r="A37" s="212"/>
      <c r="B37" s="213"/>
      <c r="C37" s="213"/>
      <c r="D37" s="213"/>
      <c r="E37" s="213"/>
      <c r="F37" s="213"/>
      <c r="G37" s="214"/>
    </row>
    <row r="38" spans="1:7" s="211" customFormat="1">
      <c r="A38" s="212"/>
      <c r="B38" s="213"/>
      <c r="C38" s="213"/>
      <c r="D38" s="213"/>
      <c r="E38" s="213"/>
      <c r="F38" s="213"/>
      <c r="G38" s="214"/>
    </row>
    <row r="39" spans="1:7" s="211" customFormat="1">
      <c r="A39" s="212"/>
      <c r="B39" s="213"/>
      <c r="C39" s="213"/>
      <c r="D39" s="213"/>
      <c r="E39" s="213"/>
      <c r="F39" s="213"/>
      <c r="G39" s="214"/>
    </row>
    <row r="40" spans="1:7" s="211" customFormat="1">
      <c r="A40" s="212"/>
      <c r="B40" s="213"/>
      <c r="C40" s="213"/>
      <c r="D40" s="213"/>
      <c r="E40" s="213"/>
      <c r="F40" s="213"/>
      <c r="G40" s="214"/>
    </row>
    <row r="41" spans="1:7" s="211" customFormat="1">
      <c r="A41" s="212"/>
      <c r="B41" s="213"/>
      <c r="C41" s="213"/>
      <c r="D41" s="213"/>
      <c r="E41" s="213"/>
      <c r="F41" s="213"/>
      <c r="G41" s="214"/>
    </row>
    <row r="42" spans="1:7" s="211" customFormat="1">
      <c r="A42" s="212"/>
      <c r="B42" s="213"/>
      <c r="C42" s="213"/>
      <c r="D42" s="213"/>
      <c r="E42" s="213"/>
      <c r="F42" s="213"/>
      <c r="G42" s="214"/>
    </row>
    <row r="43" spans="1:7" s="211" customFormat="1">
      <c r="A43" s="212"/>
      <c r="B43" s="213"/>
      <c r="C43" s="213"/>
      <c r="D43" s="213"/>
      <c r="E43" s="213"/>
      <c r="F43" s="213"/>
      <c r="G43" s="214"/>
    </row>
    <row r="44" spans="1:7" s="211" customFormat="1">
      <c r="A44" s="212"/>
      <c r="B44" s="213"/>
      <c r="C44" s="213"/>
      <c r="D44" s="213"/>
      <c r="E44" s="213"/>
      <c r="F44" s="213"/>
      <c r="G44" s="214"/>
    </row>
    <row r="45" spans="1:7" s="211" customFormat="1">
      <c r="A45" s="212"/>
      <c r="B45" s="213"/>
      <c r="C45" s="213"/>
      <c r="D45" s="213"/>
      <c r="E45" s="213"/>
      <c r="F45" s="213"/>
      <c r="G45" s="214"/>
    </row>
    <row r="46" spans="1:7" s="211" customFormat="1">
      <c r="A46" s="212"/>
      <c r="B46" s="213"/>
      <c r="C46" s="213"/>
      <c r="D46" s="213"/>
      <c r="E46" s="213"/>
      <c r="F46" s="213"/>
      <c r="G46" s="214"/>
    </row>
    <row r="47" spans="1:7" s="211" customFormat="1">
      <c r="A47" s="212"/>
      <c r="B47" s="213"/>
      <c r="C47" s="213"/>
      <c r="D47" s="213"/>
      <c r="E47" s="213"/>
      <c r="F47" s="213"/>
      <c r="G47" s="214"/>
    </row>
    <row r="48" spans="1:7" s="211" customFormat="1">
      <c r="A48" s="212"/>
      <c r="B48" s="213"/>
      <c r="C48" s="213"/>
      <c r="D48" s="213"/>
      <c r="E48" s="213"/>
      <c r="F48" s="213"/>
      <c r="G48" s="214"/>
    </row>
    <row r="49" spans="1:7" s="211" customFormat="1">
      <c r="A49" s="212"/>
      <c r="B49" s="213"/>
      <c r="C49" s="213"/>
      <c r="D49" s="213"/>
      <c r="E49" s="213"/>
      <c r="F49" s="213"/>
      <c r="G49" s="214"/>
    </row>
    <row r="50" spans="1:7" s="211" customFormat="1">
      <c r="A50" s="212"/>
      <c r="B50" s="213"/>
      <c r="C50" s="213"/>
      <c r="D50" s="213"/>
      <c r="E50" s="213"/>
      <c r="F50" s="213"/>
      <c r="G50" s="214"/>
    </row>
    <row r="51" spans="1:7" s="211" customFormat="1">
      <c r="A51" s="212"/>
      <c r="B51" s="213"/>
      <c r="C51" s="213"/>
      <c r="D51" s="213"/>
      <c r="E51" s="213"/>
      <c r="F51" s="213"/>
      <c r="G51" s="214"/>
    </row>
    <row r="52" spans="1:7" s="211" customFormat="1">
      <c r="A52" s="212"/>
      <c r="B52" s="213"/>
      <c r="C52" s="213"/>
      <c r="D52" s="213"/>
      <c r="E52" s="213"/>
      <c r="F52" s="213"/>
      <c r="G52" s="214"/>
    </row>
    <row r="53" spans="1:7" s="211" customFormat="1">
      <c r="A53" s="212"/>
      <c r="B53" s="213"/>
      <c r="C53" s="213"/>
      <c r="D53" s="213"/>
      <c r="E53" s="213"/>
      <c r="F53" s="213"/>
      <c r="G53" s="214"/>
    </row>
    <row r="54" spans="1:7" s="211" customFormat="1" ht="13.5" thickBot="1">
      <c r="A54" s="215"/>
      <c r="B54" s="216"/>
      <c r="C54" s="216"/>
      <c r="D54" s="216"/>
      <c r="E54" s="216"/>
      <c r="F54" s="216"/>
      <c r="G54" s="217"/>
    </row>
    <row r="55" spans="1:7">
      <c r="A55" s="49"/>
      <c r="B55" s="49"/>
      <c r="C55" s="49"/>
      <c r="D55" s="49"/>
      <c r="E55" s="49"/>
      <c r="F55" s="49"/>
      <c r="G55" s="49"/>
    </row>
    <row r="56" spans="1:7" s="24" customFormat="1" ht="11.25">
      <c r="A56" s="50"/>
      <c r="B56" s="223" t="s">
        <v>76</v>
      </c>
      <c r="C56" s="225"/>
      <c r="D56" s="223" t="s">
        <v>35</v>
      </c>
      <c r="E56" s="225"/>
      <c r="F56" s="223" t="s">
        <v>27</v>
      </c>
      <c r="G56" s="40"/>
    </row>
    <row r="57" spans="1:7">
      <c r="A57" s="49"/>
      <c r="B57" s="9"/>
      <c r="C57" s="65"/>
      <c r="D57" s="9"/>
      <c r="E57" s="65"/>
      <c r="F57" s="195"/>
      <c r="G57" s="198"/>
    </row>
  </sheetData>
  <phoneticPr fontId="16" type="noConversion"/>
  <pageMargins left="0.23622047244094491" right="0.23622047244094491" top="0.6692913385826772" bottom="0.70866141732283472" header="0.39370078740157483" footer="0.51181102362204722"/>
  <pageSetup scale="84" orientation="portrait" r:id="rId1"/>
  <headerFooter alignWithMargins="0">
    <oddHeader>&amp;R
&amp;P of &amp;N</oddHeader>
    <oddFooter>Страница &amp;P&amp;RProduction Part Approval Process</oddFooter>
  </headerFooter>
  <customProperties>
    <customPr name="IbpWorksheetKeyString_GU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25</vt:i4>
      </vt:variant>
    </vt:vector>
  </HeadingPairs>
  <TitlesOfParts>
    <vt:vector size="44" baseType="lpstr">
      <vt:lpstr>01PSW</vt:lpstr>
      <vt:lpstr>02ПД</vt:lpstr>
      <vt:lpstr>03ЛКП</vt:lpstr>
      <vt:lpstr>04,09FMEA</vt:lpstr>
      <vt:lpstr>08ПСк</vt:lpstr>
      <vt:lpstr>10ПУ</vt:lpstr>
      <vt:lpstr>11SPC</vt:lpstr>
      <vt:lpstr>12РПГП</vt:lpstr>
      <vt:lpstr>12РИЭХ</vt:lpstr>
      <vt:lpstr>13РИМ</vt:lpstr>
      <vt:lpstr>15SampleIT</vt:lpstr>
      <vt:lpstr>16ООВВ</vt:lpstr>
      <vt:lpstr>19MSA</vt:lpstr>
      <vt:lpstr>21СОП</vt:lpstr>
      <vt:lpstr>22ТУЛ</vt:lpstr>
      <vt:lpstr>23АПП</vt:lpstr>
      <vt:lpstr>25PSW 2</vt:lpstr>
      <vt:lpstr>Лист1</vt:lpstr>
      <vt:lpstr>02 КПП </vt:lpstr>
      <vt:lpstr>'02 КПП '!Заголовки_для_печати</vt:lpstr>
      <vt:lpstr>'03ЛКП'!Заголовки_для_печати</vt:lpstr>
      <vt:lpstr>'04,09FMEA'!Заголовки_для_печати</vt:lpstr>
      <vt:lpstr>'08ПСк'!Заголовки_для_печати</vt:lpstr>
      <vt:lpstr>'10ПУ'!Заголовки_для_печати</vt:lpstr>
      <vt:lpstr>'11SPC'!Заголовки_для_печати</vt:lpstr>
      <vt:lpstr>'12РИЭХ'!Заголовки_для_печати</vt:lpstr>
      <vt:lpstr>'12РПГП'!Заголовки_для_печати</vt:lpstr>
      <vt:lpstr>'13РИМ'!Заголовки_для_печати</vt:lpstr>
      <vt:lpstr>'19MSA'!Заголовки_для_печати</vt:lpstr>
      <vt:lpstr>'23АПП'!Заголовки_для_печати</vt:lpstr>
      <vt:lpstr>'01PSW'!Область_печати</vt:lpstr>
      <vt:lpstr>'03ЛКП'!Область_печати</vt:lpstr>
      <vt:lpstr>'04,09FMEA'!Область_печати</vt:lpstr>
      <vt:lpstr>'08ПСк'!Область_печати</vt:lpstr>
      <vt:lpstr>'10ПУ'!Область_печати</vt:lpstr>
      <vt:lpstr>'11SPC'!Область_печати</vt:lpstr>
      <vt:lpstr>'12РИЭХ'!Область_печати</vt:lpstr>
      <vt:lpstr>'12РПГП'!Область_печати</vt:lpstr>
      <vt:lpstr>'13РИМ'!Область_печати</vt:lpstr>
      <vt:lpstr>'15SampleIT'!Область_печати</vt:lpstr>
      <vt:lpstr>'16ООВВ'!Область_печати</vt:lpstr>
      <vt:lpstr>'19MSA'!Область_печати</vt:lpstr>
      <vt:lpstr>'23АПП'!Область_печати</vt:lpstr>
      <vt:lpstr>'25PSW 2'!Область_печати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Production Part Approval Process</dc:title>
  <dc:subject>Documentation File</dc:subject>
  <dc:creator>Pavlov Alexander</dc:creator>
  <dc:description>without label</dc:description>
  <cp:lastModifiedBy>Павлов Александр Витальевич</cp:lastModifiedBy>
  <cp:lastPrinted>2019-05-27T10:06:14Z</cp:lastPrinted>
  <dcterms:created xsi:type="dcterms:W3CDTF">1997-04-28T12:38:27Z</dcterms:created>
  <dcterms:modified xsi:type="dcterms:W3CDTF">2021-04-14T13:15:18Z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bpWorkbookKeyString_GUID">
    <vt:lpwstr>142b3903-6ccf-4322-a7cb-e7c7664922a7</vt:lpwstr>
  </property>
</Properties>
</file>